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150" windowHeight="7920" tabRatio="881" firstSheet="11" activeTab="15"/>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sheetId="15" r:id="rId15"/>
    <sheet name="07"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4">'06'!$A$1:$S$84</definedName>
    <definedName name="_xlnm.Print_Area" localSheetId="15">'07'!$A$1:$T$84</definedName>
    <definedName name="_xlnm.Print_Area" localSheetId="1">'Mãu BC mien giam 8'!$A$1:$N$36</definedName>
    <definedName name="_xlnm.Print_Titles" localSheetId="14">'06'!$6:$10</definedName>
    <definedName name="_xlnm.Print_Titles" localSheetId="15">'07'!$6:$10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<sst xmlns="http://schemas.openxmlformats.org/spreadsheetml/2006/main" count="1316" uniqueCount="564">
  <si>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</si>
  <si>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</si>
  <si>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</si>
  <si>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</si>
  <si>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</si>
  <si>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</si>
  <si>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</si>
  <si>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</si>
  <si>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</si>
  <si>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</si>
  <si>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</si>
  <si>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</si>
  <si>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</si>
  <si>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</si>
  <si>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</si>
  <si>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</si>
  <si>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</si>
  <si>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</si>
  <si>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</si>
  <si>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</si>
  <si>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</si>
  <si>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</si>
  <si>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</si>
  <si>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</si>
  <si>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</si>
  <si>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</si>
  <si>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</si>
  <si>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</si>
  <si>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</si>
  <si>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</si>
  <si>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</si>
  <si>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</si>
  <si>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</si>
  <si>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</si>
  <si>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</si>
  <si>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</si>
  <si>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</si>
  <si>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</si>
  <si>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</si>
  <si>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</si>
  <si>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</si>
  <si>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</si>
  <si>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</si>
  <si>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</si>
  <si>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</si>
  <si>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</si>
  <si>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</si>
  <si>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</si>
  <si>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</si>
  <si>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</si>
  <si>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</si>
  <si>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</si>
  <si>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</si>
  <si>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</si>
  <si>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</si>
  <si>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</si>
  <si>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</si>
  <si>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</si>
  <si>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</si>
  <si>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</si>
  <si>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</si>
  <si>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</si>
  <si>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</si>
  <si>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</si>
  <si>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</si>
  <si>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</si>
  <si>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</si>
  <si>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</si>
  <si>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</si>
  <si>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</si>
  <si>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</si>
  <si>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</si>
  <si>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</si>
  <si>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</si>
  <si>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</si>
  <si>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</si>
  <si>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</si>
  <si>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</si>
  <si>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</si>
  <si>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</si>
  <si>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</si>
  <si>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</si>
  <si>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</si>
  <si>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</si>
  <si>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</si>
  <si>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</si>
  <si>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</si>
  <si>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</si>
  <si>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</si>
  <si>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</si>
  <si>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</si>
  <si>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</si>
  <si>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</si>
  <si>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</si>
  <si>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</si>
  <si>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</si>
  <si>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</si>
  <si>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</si>
  <si>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</si>
  <si>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</si>
  <si>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</si>
  <si>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</si>
  <si>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</si>
  <si>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</si>
  <si>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</si>
  <si>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</si>
  <si>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</si>
  <si>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</si>
  <si>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</si>
  <si>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</si>
  <si>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</si>
  <si>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</si>
  <si>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</si>
  <si>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</si>
  <si>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</si>
  <si>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</si>
  <si>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</si>
  <si>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</si>
  <si>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</si>
  <si>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5.1</t>
  </si>
  <si>
    <t>5.2</t>
  </si>
  <si>
    <t>5.3</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</si>
  <si>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</si>
  <si>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</si>
  <si>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</si>
  <si>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</si>
  <si>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</si>
  <si>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</si>
  <si>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</si>
  <si>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</si>
  <si>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</si>
  <si>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</si>
  <si>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</si>
  <si>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</si>
  <si>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</si>
  <si>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</si>
  <si>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</si>
  <si>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</si>
  <si>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</si>
  <si>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</si>
  <si>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</si>
  <si>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</si>
  <si>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</si>
  <si>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</si>
  <si>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</si>
  <si>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</si>
  <si>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</si>
  <si>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</si>
  <si>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</si>
  <si>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</si>
  <si>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</si>
  <si>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</si>
  <si>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</si>
  <si>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</si>
  <si>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</si>
  <si>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</si>
  <si>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</si>
  <si>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</si>
  <si>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</si>
  <si>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</si>
  <si>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</si>
  <si>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</si>
  <si>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</si>
  <si>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</si>
  <si>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</si>
  <si>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</si>
  <si>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</si>
  <si>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</si>
  <si>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</si>
  <si>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</si>
  <si>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</si>
  <si>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</si>
  <si>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</si>
  <si>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</si>
  <si>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</si>
  <si>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</si>
  <si>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</si>
  <si>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</si>
  <si>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</si>
  <si>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</si>
  <si>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</si>
  <si>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</si>
  <si>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</si>
  <si>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</si>
  <si>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</si>
  <si>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</si>
  <si>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</si>
  <si>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</si>
  <si>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</si>
  <si>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</si>
  <si>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</si>
  <si>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</si>
  <si>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</si>
  <si>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</si>
  <si>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</si>
  <si>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</si>
  <si>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</si>
  <si>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</si>
  <si>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</si>
  <si>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</si>
  <si>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</si>
  <si>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</si>
  <si>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</si>
  <si>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</si>
  <si>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</si>
  <si>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</si>
  <si>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</si>
  <si>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</si>
  <si>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</si>
  <si>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</si>
  <si>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</si>
  <si>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</si>
  <si>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</si>
  <si>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</si>
  <si>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</si>
  <si>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</si>
  <si>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</si>
  <si>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</si>
  <si>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</si>
  <si>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</si>
  <si>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</si>
  <si>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</si>
  <si>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</si>
  <si>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</si>
  <si>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</si>
  <si>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</si>
  <si>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</si>
  <si>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</si>
  <si>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</si>
  <si>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</si>
  <si>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</si>
  <si>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</si>
  <si>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</si>
  <si>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</si>
  <si>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</si>
  <si>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</si>
  <si>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</si>
  <si>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</si>
  <si>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</si>
  <si>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</si>
  <si>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</si>
  <si>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</si>
  <si>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</si>
  <si>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</si>
  <si>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</si>
  <si>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</si>
  <si>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</si>
  <si>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</si>
  <si>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</si>
  <si>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</si>
  <si>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</si>
  <si>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</si>
  <si>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</si>
  <si>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</si>
  <si>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</si>
  <si>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</si>
  <si>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</si>
  <si>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</si>
  <si>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</si>
  <si>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</si>
  <si>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</si>
  <si>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</si>
  <si>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</si>
  <si>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</si>
  <si>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</si>
  <si>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</si>
  <si>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</si>
  <si>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</si>
  <si>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</si>
  <si>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</si>
  <si>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</si>
  <si>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</si>
  <si>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</si>
  <si>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</si>
  <si>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</si>
  <si>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</si>
  <si>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</si>
  <si>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</si>
  <si>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</si>
  <si>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</si>
  <si>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</si>
  <si>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</si>
  <si>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</si>
  <si>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</si>
  <si>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</si>
  <si>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</si>
  <si>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</si>
  <si>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</si>
  <si>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</si>
  <si>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</si>
  <si>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</si>
  <si>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</si>
  <si>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</si>
  <si>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</si>
  <si>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</si>
  <si>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</si>
  <si>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</si>
  <si>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</si>
  <si>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</si>
  <si>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</si>
  <si>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</si>
  <si>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</si>
  <si>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</si>
  <si>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</si>
  <si>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</si>
  <si>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</si>
  <si>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</si>
  <si>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</si>
  <si>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</si>
  <si>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</si>
  <si>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</si>
  <si>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</si>
  <si>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</si>
  <si>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</si>
  <si>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</si>
  <si>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</si>
  <si>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</si>
  <si>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</si>
  <si>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</si>
  <si>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</si>
  <si>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</si>
  <si>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</si>
  <si>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</si>
  <si>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</si>
  <si>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</si>
  <si>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</si>
  <si>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</si>
  <si>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</si>
  <si>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</si>
  <si>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</si>
  <si>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</si>
  <si>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</si>
  <si>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</si>
  <si>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</si>
  <si>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</si>
  <si>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</si>
  <si>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</si>
  <si>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</si>
  <si>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</si>
  <si>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</si>
  <si>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</si>
  <si>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</si>
  <si>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</si>
  <si>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</si>
  <si>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</si>
  <si>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</si>
  <si>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</si>
  <si>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</si>
  <si>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</si>
  <si>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</si>
  <si>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</si>
  <si>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</si>
  <si>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</si>
  <si>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</si>
  <si>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</si>
  <si>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</si>
  <si>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</si>
  <si>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</si>
  <si>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</si>
  <si>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</si>
  <si>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</si>
  <si>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</si>
  <si>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</si>
  <si>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</si>
  <si>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</si>
  <si>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</si>
  <si>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</si>
  <si>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</si>
  <si>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</si>
  <si>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</si>
  <si>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</si>
  <si>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</si>
  <si>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</si>
  <si>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</si>
  <si>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</si>
  <si>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</si>
  <si>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</si>
  <si>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</si>
  <si>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</si>
  <si>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</si>
  <si>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</si>
  <si>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</si>
  <si>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</si>
  <si>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</si>
  <si>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</si>
  <si>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</si>
  <si>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</si>
  <si>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</si>
  <si>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</si>
  <si>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</si>
  <si>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</si>
  <si>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</si>
  <si>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</si>
  <si>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</si>
  <si>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</si>
  <si>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</si>
  <si>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</si>
  <si>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</si>
  <si>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</si>
  <si>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</si>
  <si>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</si>
  <si>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</si>
  <si>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</si>
  <si>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</si>
  <si>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</si>
  <si>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</si>
  <si>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</si>
  <si>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</si>
  <si>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</si>
  <si>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</si>
  <si>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</si>
  <si>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</si>
  <si>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</si>
  <si>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</si>
  <si>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</si>
  <si>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</si>
  <si>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</si>
  <si>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</si>
  <si>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</si>
  <si>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</si>
  <si>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</si>
  <si>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</si>
  <si>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</si>
  <si>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</si>
  <si>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</si>
  <si>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</si>
  <si>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</si>
  <si>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</si>
  <si>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</si>
  <si>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</si>
  <si>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</si>
  <si>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</si>
  <si>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</si>
  <si>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</si>
  <si>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</si>
  <si>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</si>
  <si>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</si>
  <si>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</si>
  <si>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</si>
  <si>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</si>
  <si>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</si>
  <si>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</si>
  <si>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</si>
  <si>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</si>
  <si>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</si>
  <si>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</si>
  <si>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</si>
  <si>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</si>
  <si>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</si>
  <si>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</si>
  <si>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</si>
  <si>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</si>
  <si>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</si>
  <si>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</si>
  <si>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Hà T Thanh Loan</t>
  </si>
  <si>
    <t>8.5</t>
  </si>
  <si>
    <t>Nguyễn Văn Liệt</t>
  </si>
  <si>
    <t>8.4</t>
  </si>
  <si>
    <t xml:space="preserve"> Huỳnh Thanh Hải</t>
  </si>
  <si>
    <t>8.3</t>
  </si>
  <si>
    <t>Phùng Hữu Trí</t>
  </si>
  <si>
    <t>8.2</t>
  </si>
  <si>
    <t xml:space="preserve"> Lê Văn Chào</t>
  </si>
  <si>
    <t>8.1</t>
  </si>
  <si>
    <t>Huyện Cầu Kè</t>
  </si>
  <si>
    <t>Huỳnh Long Thắng</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</si>
  <si>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</si>
  <si>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</si>
  <si>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</si>
  <si>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</si>
  <si>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</si>
  <si>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</si>
  <si>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</si>
  <si>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</si>
  <si>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</si>
  <si>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</si>
  <si>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</si>
  <si>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</si>
  <si>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</si>
  <si>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</si>
  <si>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</si>
  <si>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</si>
  <si>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</si>
  <si>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</si>
  <si>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</si>
  <si>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</si>
  <si>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</si>
  <si>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Thạch Chanh Đara</t>
  </si>
  <si>
    <t>Trần Thị Điệp</t>
  </si>
  <si>
    <t>Huyện Cầu Ngang</t>
  </si>
  <si>
    <t>Lào Thị Hưởng</t>
  </si>
  <si>
    <t>Thạch ĐaRa</t>
  </si>
  <si>
    <t>Trương Thanh Hưng</t>
  </si>
  <si>
    <t>Huyện Duyên Hải</t>
  </si>
  <si>
    <t>Trần Thị Ngọc Hương</t>
  </si>
  <si>
    <t>3.4</t>
  </si>
  <si>
    <t>Huỳnh Hoàng Vũ</t>
  </si>
  <si>
    <t>Ngô Văn Sỹ</t>
  </si>
  <si>
    <t>Trần Vũ Linh</t>
  </si>
  <si>
    <t>Thị Xã Duyên Hải</t>
  </si>
  <si>
    <t>Thạch Phong</t>
  </si>
  <si>
    <t>Phạm Thị Mười</t>
  </si>
  <si>
    <t>2.4</t>
  </si>
  <si>
    <t>Trần Tấn Vinh</t>
  </si>
  <si>
    <t>2.3</t>
  </si>
  <si>
    <t>Trần Văn Tuấn</t>
  </si>
  <si>
    <t>Huỳnh Công Thành</t>
  </si>
  <si>
    <t>Huyện Châu Thành</t>
  </si>
  <si>
    <t>Trần Thị Thu Hiền</t>
  </si>
  <si>
    <t>Hồ Quốc Nhi</t>
  </si>
  <si>
    <t>Nguyễn Thanh Cao</t>
  </si>
  <si>
    <t>Lâm Sô Phone</t>
  </si>
  <si>
    <t>Lâm Văn Thừa</t>
  </si>
  <si>
    <t>Đặng Văn Hưởng</t>
  </si>
  <si>
    <t xml:space="preserve"> TP.Trà Vinh</t>
  </si>
  <si>
    <t>Phạm Thị Như Thủy</t>
  </si>
  <si>
    <t>Cao Đức Phong</t>
  </si>
  <si>
    <t>Nguyễn Văn Dương</t>
  </si>
  <si>
    <t>Trương K.T.Luân</t>
  </si>
  <si>
    <t>Nguyên Văn Tam</t>
  </si>
  <si>
    <t>Phan Văn Phóng</t>
  </si>
  <si>
    <t>Chung Ngọc Cảnh</t>
  </si>
  <si>
    <t>Nguyễn Minh Khiêm</t>
  </si>
  <si>
    <t>Dương Trung Trực</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</si>
  <si>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</si>
  <si>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</si>
  <si>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</si>
  <si>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</si>
  <si>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</si>
  <si>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</si>
  <si>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</si>
  <si>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</si>
  <si>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</si>
  <si>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</si>
  <si>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</si>
  <si>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</si>
  <si>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</si>
  <si>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</si>
  <si>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</si>
  <si>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</si>
  <si>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</si>
  <si>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20</t>
  </si>
  <si>
    <t>21</t>
  </si>
  <si>
    <t>22</t>
  </si>
  <si>
    <t>23</t>
  </si>
  <si>
    <t>Trần Văn To</t>
  </si>
  <si>
    <t>Đặng  Văn Hưởng</t>
  </si>
  <si>
    <t>42847</t>
  </si>
  <si>
    <t>8574</t>
  </si>
  <si>
    <t>Huỳnh Văn Kha</t>
  </si>
  <si>
    <t>Lê Thị Cẩm Thúy</t>
  </si>
  <si>
    <t>6.6</t>
  </si>
  <si>
    <t>Phan Ngọc Siêng</t>
  </si>
  <si>
    <t>5.5</t>
  </si>
  <si>
    <t xml:space="preserve">Có điều kiện chuyển kỳ sau
</t>
  </si>
  <si>
    <t xml:space="preserve">Có điều kiện / tổng số phải thi hành
</t>
  </si>
  <si>
    <t>Thi hành 
xong
(Xong+ĐC)</t>
  </si>
  <si>
    <t>Nguyễn Minh Kiệt</t>
  </si>
  <si>
    <t>Số việc
 có ĐK 12/2016</t>
  </si>
  <si>
    <t>Tỷ lệ giảI quyết án tồn</t>
  </si>
  <si>
    <t>Số tiền
 có  ĐK 12/2016</t>
  </si>
  <si>
    <t>19</t>
  </si>
  <si>
    <r>
      <rPr>
        <sz val="12"/>
        <color indexed="10"/>
        <rFont val="Times New Roman"/>
        <family val="1"/>
      </rPr>
      <t>02</t>
    </r>
    <r>
      <rPr>
        <sz val="12"/>
        <rFont val="Times New Roman"/>
        <family val="1"/>
      </rPr>
      <t xml:space="preserve"> tháng / năm 2018</t>
    </r>
  </si>
  <si>
    <r>
      <rPr>
        <sz val="12"/>
        <color indexed="10"/>
        <rFont val="Times New Roman"/>
        <family val="1"/>
      </rPr>
      <t>Trà Vinh</t>
    </r>
    <r>
      <rPr>
        <sz val="12"/>
        <rFont val="Times New Roman"/>
        <family val="1"/>
      </rPr>
      <t>, ngày 30 tháng 11 năm 2017</t>
    </r>
  </si>
</sst>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s>
  <fonts count="17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b/>
      <sz val="11"/>
      <name val=".VnTime"/>
      <family val="2"/>
    </font>
    <font>
      <sz val="11"/>
      <name val=".VnTime"/>
      <family val="2"/>
    </font>
    <font>
      <sz val="6"/>
      <name val="Times New Roman"/>
      <family val="1"/>
    </font>
    <font>
      <sz val="6"/>
      <color indexed="10"/>
      <name val="Times New Roman"/>
      <family val="1"/>
    </font>
    <font>
      <sz val="7"/>
      <color indexed="10"/>
      <name val="Times New Roman"/>
      <family val="1"/>
    </font>
    <font>
      <sz val="5"/>
      <name val="Times New Roman"/>
      <family val="1"/>
    </font>
    <font>
      <sz val="5"/>
      <color indexed="10"/>
      <name val="Times New Roman"/>
      <family val="1"/>
    </font>
    <font>
      <b/>
      <i/>
      <sz val="5"/>
      <name val="Times New Roman"/>
      <family val="1"/>
    </font>
    <font>
      <i/>
      <sz val="5"/>
      <name val="Times New Roman"/>
      <family val="1"/>
    </font>
    <font>
      <b/>
      <i/>
      <sz val="7"/>
      <name val="Times New Roman"/>
      <family val="1"/>
    </font>
    <font>
      <i/>
      <sz val="7"/>
      <name val="Times New Roman"/>
      <family val="1"/>
    </font>
    <font>
      <b/>
      <sz val="5"/>
      <name val="Times New Roman"/>
      <family val="1"/>
    </font>
    <font>
      <sz val="11"/>
      <color indexed="8"/>
      <name val="Calibri"/>
      <family val="2"/>
    </font>
    <font>
      <sz val="8"/>
      <color indexed="10"/>
      <name val="Times New Roman"/>
      <family val="1"/>
    </font>
    <font>
      <i/>
      <sz val="9"/>
      <color indexed="10"/>
      <name val="Times New Roman"/>
      <family val="1"/>
    </font>
    <font>
      <sz val="9"/>
      <color indexed="10"/>
      <name val="Times New Roman"/>
      <family val="1"/>
    </font>
    <font>
      <i/>
      <sz val="5"/>
      <color indexed="10"/>
      <name val="Times New Roman"/>
      <family val="1"/>
    </font>
    <font>
      <b/>
      <sz val="5"/>
      <color indexed="10"/>
      <name val="Times New Roman"/>
      <family val="1"/>
    </font>
    <font>
      <b/>
      <i/>
      <sz val="5"/>
      <color indexed="10"/>
      <name val="Times New Roman"/>
      <family val="1"/>
    </font>
    <font>
      <b/>
      <sz val="4"/>
      <name val="Times New Roman"/>
      <family val="1"/>
    </font>
    <font>
      <sz val="4"/>
      <name val="Times New Roman"/>
      <family val="1"/>
    </font>
    <font>
      <sz val="6"/>
      <color indexed="8"/>
      <name val="Times New Roman"/>
      <family val="1"/>
    </font>
    <font>
      <b/>
      <sz val="10"/>
      <color indexed="10"/>
      <name val="Times New Roman"/>
      <family val="1"/>
    </font>
    <font>
      <b/>
      <sz val="7"/>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6"/>
      <color indexed="60"/>
      <name val="Times New Roman"/>
      <family val="1"/>
    </font>
    <font>
      <sz val="10"/>
      <color indexed="8"/>
      <name val="Times New Roman"/>
      <family val="1"/>
    </font>
    <font>
      <sz val="6"/>
      <color indexed="56"/>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6"/>
      <color rgb="FFFF0000"/>
      <name val="Times New Roman"/>
      <family val="1"/>
    </font>
    <font>
      <sz val="6"/>
      <color rgb="FFC00000"/>
      <name val="Times New Roman"/>
      <family val="1"/>
    </font>
    <font>
      <sz val="10"/>
      <color rgb="FFFF0000"/>
      <name val="Times New Roman"/>
      <family val="1"/>
    </font>
    <font>
      <sz val="10"/>
      <color theme="1"/>
      <name val="Times New Roman"/>
      <family val="1"/>
    </font>
    <font>
      <sz val="5"/>
      <color rgb="FFFF0000"/>
      <name val="Times New Roman"/>
      <family val="1"/>
    </font>
    <font>
      <b/>
      <sz val="10"/>
      <color rgb="FFFF0000"/>
      <name val="Times New Roman"/>
      <family val="1"/>
    </font>
    <font>
      <sz val="7"/>
      <color rgb="FFFF0000"/>
      <name val="Times New Roman"/>
      <family val="1"/>
    </font>
    <font>
      <sz val="6"/>
      <color theme="3"/>
      <name val="Times New Roman"/>
      <family val="1"/>
    </font>
    <font>
      <sz val="6"/>
      <color theme="1"/>
      <name val="Times New Roman"/>
      <family val="1"/>
    </font>
    <font>
      <b/>
      <sz val="8"/>
      <name val="Times New Roman"/>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indexed="4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color indexed="63"/>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4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4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4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4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4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4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45"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5"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4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46"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4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46"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46"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4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46"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6"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47"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48" fillId="37" borderId="1" applyNumberFormat="0" applyAlignment="0" applyProtection="0"/>
    <xf numFmtId="0" fontId="38" fillId="38" borderId="2" applyNumberFormat="0" applyAlignment="0" applyProtection="0"/>
    <xf numFmtId="0" fontId="38" fillId="38" borderId="2" applyNumberFormat="0" applyAlignment="0" applyProtection="0"/>
    <xf numFmtId="0" fontId="149" fillId="39" borderId="3" applyNumberFormat="0" applyAlignment="0" applyProtection="0"/>
    <xf numFmtId="0" fontId="39" fillId="40" borderId="4" applyNumberFormat="0" applyAlignment="0" applyProtection="0"/>
    <xf numFmtId="0" fontId="3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1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5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51"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52"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53"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54"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5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55" fillId="42" borderId="1" applyNumberFormat="0" applyAlignment="0" applyProtection="0"/>
    <xf numFmtId="0" fontId="45" fillId="9" borderId="2" applyNumberFormat="0" applyAlignment="0" applyProtection="0"/>
    <xf numFmtId="0" fontId="45" fillId="9" borderId="2" applyNumberFormat="0" applyAlignment="0" applyProtection="0"/>
    <xf numFmtId="0" fontId="156"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57"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58"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59"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113" fillId="0" borderId="0" applyFont="0" applyFill="0" applyBorder="0" applyAlignment="0" applyProtection="0"/>
    <xf numFmtId="0" fontId="16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61"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6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1001">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4" applyNumberFormat="1" applyFont="1" applyFill="1" applyBorder="1" applyAlignment="1" applyProtection="1">
      <alignment horizontal="center" vertical="center"/>
      <protection/>
    </xf>
    <xf numFmtId="49" fontId="0" fillId="47" borderId="0" xfId="146" applyNumberFormat="1" applyFont="1" applyFill="1" applyBorder="1" applyAlignment="1">
      <alignment horizontal="left"/>
      <protection/>
    </xf>
    <xf numFmtId="49" fontId="0" fillId="0" borderId="0" xfId="146" applyNumberFormat="1" applyFont="1">
      <alignment/>
      <protection/>
    </xf>
    <xf numFmtId="49" fontId="0" fillId="0" borderId="0" xfId="146" applyNumberFormat="1">
      <alignment/>
      <protection/>
    </xf>
    <xf numFmtId="49" fontId="0" fillId="0" borderId="0" xfId="146" applyNumberFormat="1" applyFont="1" applyAlignment="1">
      <alignment horizontal="left"/>
      <protection/>
    </xf>
    <xf numFmtId="49" fontId="0" fillId="0" borderId="0" xfId="146" applyNumberFormat="1" applyFont="1" applyBorder="1" applyAlignment="1">
      <alignment wrapText="1"/>
      <protection/>
    </xf>
    <xf numFmtId="49" fontId="15" fillId="0" borderId="0" xfId="146" applyNumberFormat="1" applyFont="1" applyAlignment="1">
      <alignment/>
      <protection/>
    </xf>
    <xf numFmtId="49" fontId="0" fillId="0" borderId="0" xfId="146" applyNumberFormat="1" applyFont="1" applyBorder="1" applyAlignment="1">
      <alignment horizontal="left" wrapText="1"/>
      <protection/>
    </xf>
    <xf numFmtId="49" fontId="18" fillId="0" borderId="0" xfId="146" applyNumberFormat="1" applyFont="1" applyAlignment="1">
      <alignment horizontal="left"/>
      <protection/>
    </xf>
    <xf numFmtId="49" fontId="0" fillId="0" borderId="0" xfId="146" applyNumberFormat="1" applyFont="1" applyFill="1" applyAlignment="1">
      <alignment/>
      <protection/>
    </xf>
    <xf numFmtId="49" fontId="0" fillId="0" borderId="0" xfId="146" applyNumberFormat="1" applyFont="1" applyFill="1" applyAlignment="1">
      <alignment horizontal="center"/>
      <protection/>
    </xf>
    <xf numFmtId="49" fontId="0" fillId="0" borderId="0" xfId="146" applyNumberFormat="1" applyFont="1" applyAlignment="1">
      <alignment horizontal="center"/>
      <protection/>
    </xf>
    <xf numFmtId="49" fontId="0" fillId="0" borderId="0" xfId="146" applyNumberFormat="1" applyFont="1" applyFill="1">
      <alignment/>
      <protection/>
    </xf>
    <xf numFmtId="49" fontId="13" fillId="47" borderId="22" xfId="146" applyNumberFormat="1" applyFont="1" applyFill="1" applyBorder="1" applyAlignment="1">
      <alignment/>
      <protection/>
    </xf>
    <xf numFmtId="49" fontId="7" fillId="0" borderId="20" xfId="146" applyNumberFormat="1" applyFont="1" applyFill="1" applyBorder="1" applyAlignment="1">
      <alignment horizontal="center" vertical="center" wrapText="1"/>
      <protection/>
    </xf>
    <xf numFmtId="49" fontId="52" fillId="48" borderId="20" xfId="146" applyNumberFormat="1" applyFont="1" applyFill="1" applyBorder="1" applyAlignment="1">
      <alignment horizontal="center"/>
      <protection/>
    </xf>
    <xf numFmtId="49" fontId="7" fillId="0" borderId="21" xfId="146" applyNumberFormat="1" applyFont="1" applyFill="1" applyBorder="1" applyAlignment="1">
      <alignment horizontal="center" vertical="center" wrapText="1"/>
      <protection/>
    </xf>
    <xf numFmtId="49" fontId="7" fillId="0" borderId="20" xfId="146" applyNumberFormat="1" applyFont="1" applyBorder="1" applyAlignment="1">
      <alignment horizontal="center" vertical="center" wrapText="1"/>
      <protection/>
    </xf>
    <xf numFmtId="49" fontId="53" fillId="0" borderId="20" xfId="146" applyNumberFormat="1" applyFont="1" applyFill="1" applyBorder="1" applyAlignment="1">
      <alignment horizontal="center" vertical="center" wrapText="1"/>
      <protection/>
    </xf>
    <xf numFmtId="49" fontId="18" fillId="0" borderId="20" xfId="146" applyNumberFormat="1" applyFont="1" applyBorder="1" applyAlignment="1">
      <alignment horizontal="center" vertical="center"/>
      <protection/>
    </xf>
    <xf numFmtId="3" fontId="0" fillId="0" borderId="20" xfId="146" applyNumberFormat="1" applyFont="1" applyBorder="1" applyAlignment="1">
      <alignment horizontal="center" vertical="center"/>
      <protection/>
    </xf>
    <xf numFmtId="3" fontId="0" fillId="0" borderId="20" xfId="146" applyNumberFormat="1" applyFont="1" applyBorder="1" applyAlignment="1">
      <alignment vertical="center"/>
      <protection/>
    </xf>
    <xf numFmtId="49" fontId="0" fillId="0" borderId="0" xfId="146" applyNumberFormat="1" applyAlignment="1">
      <alignment vertical="center"/>
      <protection/>
    </xf>
    <xf numFmtId="3" fontId="51" fillId="3" borderId="20" xfId="146" applyNumberFormat="1" applyFont="1" applyFill="1" applyBorder="1" applyAlignment="1">
      <alignment vertical="center"/>
      <protection/>
    </xf>
    <xf numFmtId="3" fontId="56" fillId="3" borderId="20" xfId="146" applyNumberFormat="1" applyFont="1" applyFill="1" applyBorder="1" applyAlignment="1">
      <alignment vertical="center"/>
      <protection/>
    </xf>
    <xf numFmtId="49" fontId="57" fillId="0" borderId="20" xfId="146" applyNumberFormat="1" applyFont="1" applyBorder="1" applyAlignment="1">
      <alignment horizontal="center" vertical="center"/>
      <protection/>
    </xf>
    <xf numFmtId="3" fontId="25" fillId="44" borderId="20" xfId="146" applyNumberFormat="1" applyFont="1" applyFill="1" applyBorder="1" applyAlignment="1">
      <alignment vertical="center"/>
      <protection/>
    </xf>
    <xf numFmtId="3" fontId="3" fillId="48" borderId="20" xfId="146" applyNumberFormat="1" applyFont="1" applyFill="1" applyBorder="1" applyAlignment="1">
      <alignment horizontal="center" vertical="center"/>
      <protection/>
    </xf>
    <xf numFmtId="3" fontId="3" fillId="48" borderId="20" xfId="146" applyNumberFormat="1" applyFont="1" applyFill="1" applyBorder="1" applyAlignment="1">
      <alignment vertical="center"/>
      <protection/>
    </xf>
    <xf numFmtId="49" fontId="7" fillId="44" borderId="20" xfId="146" applyNumberFormat="1" applyFont="1" applyFill="1" applyBorder="1" applyAlignment="1">
      <alignment horizontal="center" vertical="center"/>
      <protection/>
    </xf>
    <xf numFmtId="49" fontId="7" fillId="44" borderId="20" xfId="146" applyNumberFormat="1" applyFont="1" applyFill="1" applyBorder="1" applyAlignment="1">
      <alignment horizontal="left" vertical="center"/>
      <protection/>
    </xf>
    <xf numFmtId="3" fontId="28" fillId="48" borderId="20" xfId="146" applyNumberFormat="1" applyFont="1" applyFill="1" applyBorder="1" applyAlignment="1">
      <alignment vertical="center"/>
      <protection/>
    </xf>
    <xf numFmtId="3" fontId="28" fillId="0" borderId="20" xfId="146" applyNumberFormat="1" applyFont="1" applyFill="1" applyBorder="1" applyAlignment="1">
      <alignment vertical="center"/>
      <protection/>
    </xf>
    <xf numFmtId="9" fontId="0" fillId="0" borderId="0" xfId="155" applyFont="1" applyAlignment="1">
      <alignment vertical="center"/>
    </xf>
    <xf numFmtId="49" fontId="7" fillId="44" borderId="23" xfId="146" applyNumberFormat="1" applyFont="1" applyFill="1" applyBorder="1" applyAlignment="1">
      <alignment horizontal="center" vertical="center"/>
      <protection/>
    </xf>
    <xf numFmtId="3" fontId="25" fillId="44" borderId="20" xfId="146" applyNumberFormat="1" applyFont="1" applyFill="1" applyBorder="1" applyAlignment="1">
      <alignment vertical="center"/>
      <protection/>
    </xf>
    <xf numFmtId="49" fontId="4" fillId="0" borderId="20" xfId="146" applyNumberFormat="1" applyFont="1" applyBorder="1" applyAlignment="1">
      <alignment horizontal="center" vertical="center"/>
      <protection/>
    </xf>
    <xf numFmtId="49" fontId="4" fillId="47" borderId="20" xfId="146" applyNumberFormat="1" applyFont="1" applyFill="1" applyBorder="1" applyAlignment="1">
      <alignment horizontal="left" vertical="center"/>
      <protection/>
    </xf>
    <xf numFmtId="49" fontId="5" fillId="47" borderId="20" xfId="146" applyNumberFormat="1" applyFont="1" applyFill="1" applyBorder="1" applyAlignment="1">
      <alignment horizontal="left" vertical="center"/>
      <protection/>
    </xf>
    <xf numFmtId="3" fontId="28" fillId="0" borderId="20" xfId="147" applyNumberFormat="1" applyFont="1" applyFill="1" applyBorder="1" applyAlignment="1">
      <alignment vertical="center"/>
      <protection/>
    </xf>
    <xf numFmtId="49" fontId="20" fillId="0" borderId="0" xfId="146" applyNumberFormat="1" applyFont="1" applyAlignment="1">
      <alignment vertical="center"/>
      <protection/>
    </xf>
    <xf numFmtId="49" fontId="4" fillId="47" borderId="20" xfId="146" applyNumberFormat="1" applyFont="1" applyFill="1" applyBorder="1" applyAlignment="1">
      <alignment horizontal="left" vertical="center"/>
      <protection/>
    </xf>
    <xf numFmtId="3" fontId="28" fillId="0" borderId="20" xfId="147" applyNumberFormat="1" applyFont="1" applyFill="1" applyBorder="1" applyAlignment="1">
      <alignment horizontal="center" vertical="center"/>
      <protection/>
    </xf>
    <xf numFmtId="49" fontId="0" fillId="0" borderId="0" xfId="146" applyNumberFormat="1" applyFill="1">
      <alignment/>
      <protection/>
    </xf>
    <xf numFmtId="49" fontId="20" fillId="0" borderId="0" xfId="146" applyNumberFormat="1" applyFont="1">
      <alignment/>
      <protection/>
    </xf>
    <xf numFmtId="49" fontId="28" fillId="0" borderId="0" xfId="146" applyNumberFormat="1" applyFont="1" applyFill="1" applyBorder="1" applyAlignment="1">
      <alignment horizontal="center" wrapText="1"/>
      <protection/>
    </xf>
    <xf numFmtId="49" fontId="58" fillId="0" borderId="0" xfId="146" applyNumberFormat="1" applyFont="1" applyBorder="1">
      <alignment/>
      <protection/>
    </xf>
    <xf numFmtId="49" fontId="59" fillId="0" borderId="0" xfId="146" applyNumberFormat="1" applyFont="1">
      <alignment/>
      <protection/>
    </xf>
    <xf numFmtId="49" fontId="1" fillId="0" borderId="0" xfId="146" applyNumberFormat="1" applyFont="1">
      <alignment/>
      <protection/>
    </xf>
    <xf numFmtId="9" fontId="1" fillId="0" borderId="0" xfId="155" applyFont="1" applyAlignment="1">
      <alignment/>
    </xf>
    <xf numFmtId="49" fontId="60" fillId="0" borderId="0" xfId="146" applyNumberFormat="1" applyFont="1" applyBorder="1">
      <alignment/>
      <protection/>
    </xf>
    <xf numFmtId="49" fontId="25" fillId="0" borderId="0" xfId="146" applyNumberFormat="1" applyFont="1" applyBorder="1" applyAlignment="1">
      <alignment horizontal="center" wrapText="1"/>
      <protection/>
    </xf>
    <xf numFmtId="49" fontId="25" fillId="0" borderId="0" xfId="146" applyNumberFormat="1" applyFont="1" applyFill="1" applyBorder="1" applyAlignment="1">
      <alignment horizontal="center" wrapText="1"/>
      <protection/>
    </xf>
    <xf numFmtId="49" fontId="61" fillId="0" borderId="0" xfId="146" applyNumberFormat="1" applyFont="1" applyBorder="1">
      <alignment/>
      <protection/>
    </xf>
    <xf numFmtId="49" fontId="62" fillId="0" borderId="0" xfId="146" applyNumberFormat="1" applyFont="1" applyBorder="1" applyAlignment="1">
      <alignment wrapText="1"/>
      <protection/>
    </xf>
    <xf numFmtId="49" fontId="2" fillId="0" borderId="0" xfId="146" applyNumberFormat="1" applyFont="1" applyBorder="1">
      <alignment/>
      <protection/>
    </xf>
    <xf numFmtId="49" fontId="39" fillId="0" borderId="0" xfId="146" applyNumberFormat="1" applyFont="1" applyBorder="1" applyAlignment="1">
      <alignment horizontal="center" wrapText="1"/>
      <protection/>
    </xf>
    <xf numFmtId="49" fontId="39" fillId="0" borderId="0" xfId="146" applyNumberFormat="1" applyFont="1" applyFill="1" applyBorder="1" applyAlignment="1">
      <alignment horizontal="center" wrapText="1"/>
      <protection/>
    </xf>
    <xf numFmtId="49" fontId="63" fillId="0" borderId="0" xfId="146" applyNumberFormat="1" applyFont="1" applyBorder="1">
      <alignment/>
      <protection/>
    </xf>
    <xf numFmtId="49" fontId="28" fillId="0" borderId="0" xfId="146" applyNumberFormat="1" applyFont="1">
      <alignment/>
      <protection/>
    </xf>
    <xf numFmtId="49" fontId="28" fillId="0" borderId="0" xfId="146" applyNumberFormat="1" applyFont="1" applyFill="1">
      <alignment/>
      <protection/>
    </xf>
    <xf numFmtId="49" fontId="28" fillId="47" borderId="0" xfId="146" applyNumberFormat="1" applyFont="1" applyFill="1">
      <alignment/>
      <protection/>
    </xf>
    <xf numFmtId="0" fontId="25" fillId="0" borderId="0" xfId="146" applyFont="1" applyAlignment="1">
      <alignment horizontal="center"/>
      <protection/>
    </xf>
    <xf numFmtId="49" fontId="25" fillId="47" borderId="0" xfId="146" applyNumberFormat="1" applyFont="1" applyFill="1" applyAlignment="1">
      <alignment horizontal="center"/>
      <protection/>
    </xf>
    <xf numFmtId="0" fontId="65" fillId="0" borderId="0" xfId="146" applyFont="1" applyAlignment="1">
      <alignment/>
      <protection/>
    </xf>
    <xf numFmtId="0" fontId="3" fillId="0" borderId="0" xfId="146" applyFont="1" applyAlignment="1">
      <alignment/>
      <protection/>
    </xf>
    <xf numFmtId="49" fontId="30" fillId="0" borderId="0" xfId="146" applyNumberFormat="1" applyFont="1">
      <alignment/>
      <protection/>
    </xf>
    <xf numFmtId="3" fontId="0" fillId="0" borderId="0" xfId="146" applyNumberFormat="1" applyFont="1" applyFill="1">
      <alignment/>
      <protection/>
    </xf>
    <xf numFmtId="49" fontId="3" fillId="0" borderId="0" xfId="146" applyNumberFormat="1" applyFont="1" applyFill="1" applyAlignment="1">
      <alignment wrapText="1"/>
      <protection/>
    </xf>
    <xf numFmtId="49" fontId="0" fillId="0" borderId="0" xfId="146" applyNumberFormat="1" applyFont="1" applyFill="1" applyBorder="1" applyAlignment="1">
      <alignment/>
      <protection/>
    </xf>
    <xf numFmtId="49" fontId="0" fillId="0" borderId="0" xfId="146" applyNumberFormat="1" applyFont="1" applyFill="1" applyBorder="1">
      <alignment/>
      <protection/>
    </xf>
    <xf numFmtId="49" fontId="19" fillId="0" borderId="22" xfId="146" applyNumberFormat="1" applyFont="1" applyFill="1" applyBorder="1" applyAlignment="1">
      <alignment/>
      <protection/>
    </xf>
    <xf numFmtId="49" fontId="5" fillId="0" borderId="22" xfId="146" applyNumberFormat="1" applyFont="1" applyFill="1" applyBorder="1" applyAlignment="1">
      <alignment horizontal="center"/>
      <protection/>
    </xf>
    <xf numFmtId="49" fontId="0" fillId="0" borderId="0" xfId="146" applyNumberFormat="1" applyFill="1" applyBorder="1">
      <alignment/>
      <protection/>
    </xf>
    <xf numFmtId="49" fontId="6" fillId="0" borderId="20" xfId="146" applyNumberFormat="1" applyFont="1" applyFill="1" applyBorder="1" applyAlignment="1">
      <alignment horizontal="center" vertical="center" wrapText="1"/>
      <protection/>
    </xf>
    <xf numFmtId="49" fontId="19" fillId="0" borderId="20" xfId="146" applyNumberFormat="1" applyFont="1" applyFill="1" applyBorder="1" applyAlignment="1">
      <alignment horizontal="center" vertical="center" wrapText="1"/>
      <protection/>
    </xf>
    <xf numFmtId="3" fontId="29" fillId="3" borderId="20" xfId="146" applyNumberFormat="1" applyFont="1" applyFill="1" applyBorder="1" applyAlignment="1">
      <alignment horizontal="center" vertical="center" wrapText="1"/>
      <protection/>
    </xf>
    <xf numFmtId="3" fontId="68" fillId="3" borderId="20" xfId="146" applyNumberFormat="1" applyFont="1" applyFill="1" applyBorder="1" applyAlignment="1">
      <alignment horizontal="center" vertical="center" wrapText="1"/>
      <protection/>
    </xf>
    <xf numFmtId="3" fontId="6" fillId="44" borderId="20" xfId="146" applyNumberFormat="1" applyFont="1" applyFill="1" applyBorder="1" applyAlignment="1">
      <alignment horizontal="center" vertical="center" wrapText="1"/>
      <protection/>
    </xf>
    <xf numFmtId="49" fontId="7" fillId="0" borderId="20" xfId="146" applyNumberFormat="1" applyFont="1" applyFill="1" applyBorder="1" applyAlignment="1">
      <alignment horizontal="center"/>
      <protection/>
    </xf>
    <xf numFmtId="49" fontId="7" fillId="0" borderId="20" xfId="146" applyNumberFormat="1" applyFont="1" applyFill="1" applyBorder="1" applyAlignment="1">
      <alignment horizontal="left"/>
      <protection/>
    </xf>
    <xf numFmtId="3" fontId="5" fillId="44" borderId="20" xfId="146" applyNumberFormat="1" applyFont="1" applyFill="1" applyBorder="1" applyAlignment="1">
      <alignment horizontal="center" vertical="center" wrapText="1"/>
      <protection/>
    </xf>
    <xf numFmtId="3" fontId="5" fillId="0" borderId="20" xfId="146" applyNumberFormat="1" applyFont="1" applyFill="1" applyBorder="1" applyAlignment="1">
      <alignment horizontal="center" vertical="center" wrapText="1"/>
      <protection/>
    </xf>
    <xf numFmtId="9" fontId="0" fillId="0" borderId="0" xfId="155" applyFont="1" applyFill="1" applyAlignment="1">
      <alignment/>
    </xf>
    <xf numFmtId="49" fontId="7" fillId="44" borderId="23" xfId="146" applyNumberFormat="1" applyFont="1" applyFill="1" applyBorder="1" applyAlignment="1">
      <alignment horizontal="center"/>
      <protection/>
    </xf>
    <xf numFmtId="49" fontId="7" fillId="44" borderId="20" xfId="146" applyNumberFormat="1" applyFont="1" applyFill="1" applyBorder="1" applyAlignment="1">
      <alignment horizontal="left"/>
      <protection/>
    </xf>
    <xf numFmtId="49" fontId="4" fillId="0" borderId="23" xfId="146" applyNumberFormat="1" applyFont="1" applyFill="1" applyBorder="1" applyAlignment="1">
      <alignment horizontal="center"/>
      <protection/>
    </xf>
    <xf numFmtId="49" fontId="4" fillId="47" borderId="20" xfId="146" applyNumberFormat="1" applyFont="1" applyFill="1" applyBorder="1" applyAlignment="1">
      <alignment horizontal="left"/>
      <protection/>
    </xf>
    <xf numFmtId="3" fontId="5" fillId="47" borderId="20" xfId="146" applyNumberFormat="1" applyFont="1" applyFill="1" applyBorder="1" applyAlignment="1">
      <alignment horizontal="center" vertical="center" wrapText="1"/>
      <protection/>
    </xf>
    <xf numFmtId="49" fontId="5" fillId="47" borderId="20" xfId="146" applyNumberFormat="1" applyFont="1" applyFill="1" applyBorder="1" applyAlignment="1">
      <alignment horizontal="left"/>
      <protection/>
    </xf>
    <xf numFmtId="49" fontId="6" fillId="0" borderId="19" xfId="146" applyNumberFormat="1" applyFont="1" applyFill="1" applyBorder="1" applyAlignment="1">
      <alignment horizontal="center"/>
      <protection/>
    </xf>
    <xf numFmtId="49" fontId="6" fillId="0" borderId="19" xfId="146" applyNumberFormat="1" applyFont="1" applyFill="1" applyBorder="1" applyAlignment="1">
      <alignment horizontal="left"/>
      <protection/>
    </xf>
    <xf numFmtId="3" fontId="5" fillId="0" borderId="19" xfId="146" applyNumberFormat="1" applyFont="1" applyFill="1" applyBorder="1" applyAlignment="1">
      <alignment horizontal="center" vertical="center" wrapText="1"/>
      <protection/>
    </xf>
    <xf numFmtId="49" fontId="15" fillId="0" borderId="0" xfId="146" applyNumberFormat="1" applyFont="1" applyFill="1" applyBorder="1" applyAlignment="1">
      <alignment vertical="center" wrapText="1"/>
      <protection/>
    </xf>
    <xf numFmtId="49" fontId="69" fillId="0" borderId="0" xfId="146" applyNumberFormat="1" applyFont="1" applyFill="1">
      <alignment/>
      <protection/>
    </xf>
    <xf numFmtId="49" fontId="4" fillId="0" borderId="0" xfId="146" applyNumberFormat="1" applyFont="1" applyFill="1">
      <alignment/>
      <protection/>
    </xf>
    <xf numFmtId="49" fontId="0" fillId="47" borderId="0" xfId="146" applyNumberFormat="1" applyFont="1" applyFill="1">
      <alignment/>
      <protection/>
    </xf>
    <xf numFmtId="49" fontId="3" fillId="47" borderId="0" xfId="146" applyNumberFormat="1" applyFont="1" applyFill="1" applyAlignment="1">
      <alignment horizontal="center"/>
      <protection/>
    </xf>
    <xf numFmtId="49" fontId="22" fillId="0" borderId="0" xfId="146" applyNumberFormat="1" applyFont="1" applyFill="1">
      <alignment/>
      <protection/>
    </xf>
    <xf numFmtId="49" fontId="3" fillId="0" borderId="0" xfId="146" applyNumberFormat="1" applyFont="1" applyFill="1">
      <alignment/>
      <protection/>
    </xf>
    <xf numFmtId="49" fontId="13" fillId="0" borderId="0" xfId="146" applyNumberFormat="1" applyFont="1" applyFill="1" applyAlignment="1">
      <alignment/>
      <protection/>
    </xf>
    <xf numFmtId="49" fontId="13" fillId="0" borderId="0" xfId="146" applyNumberFormat="1" applyFont="1" applyFill="1" applyAlignment="1">
      <alignment wrapText="1"/>
      <protection/>
    </xf>
    <xf numFmtId="49" fontId="13" fillId="0" borderId="0" xfId="146" applyNumberFormat="1" applyFont="1" applyFill="1" applyAlignment="1">
      <alignment horizontal="left" wrapText="1"/>
      <protection/>
    </xf>
    <xf numFmtId="49" fontId="0" fillId="0" borderId="0" xfId="146" applyNumberFormat="1" applyAlignment="1">
      <alignment horizontal="left"/>
      <protection/>
    </xf>
    <xf numFmtId="49" fontId="0" fillId="0" borderId="0" xfId="146" applyNumberFormat="1" applyFont="1" applyBorder="1" applyAlignment="1">
      <alignment horizontal="left"/>
      <protection/>
    </xf>
    <xf numFmtId="49" fontId="13" fillId="0" borderId="20" xfId="146" applyNumberFormat="1" applyFont="1" applyBorder="1" applyAlignment="1">
      <alignment horizontal="center"/>
      <protection/>
    </xf>
    <xf numFmtId="3" fontId="4" fillId="4" borderId="20" xfId="147" applyNumberFormat="1" applyFont="1" applyFill="1" applyBorder="1" applyAlignment="1">
      <alignment horizontal="center" vertical="center"/>
      <protection/>
    </xf>
    <xf numFmtId="3" fontId="31" fillId="47" borderId="20" xfId="146" applyNumberFormat="1" applyFont="1" applyFill="1" applyBorder="1" applyAlignment="1">
      <alignment horizontal="center" vertical="center"/>
      <protection/>
    </xf>
    <xf numFmtId="3" fontId="17" fillId="3" borderId="20" xfId="146" applyNumberFormat="1" applyFont="1" applyFill="1" applyBorder="1" applyAlignment="1">
      <alignment horizontal="center" vertical="center"/>
      <protection/>
    </xf>
    <xf numFmtId="3" fontId="33" fillId="3" borderId="20" xfId="146" applyNumberFormat="1" applyFont="1" applyFill="1" applyBorder="1" applyAlignment="1">
      <alignment horizontal="center" vertical="center"/>
      <protection/>
    </xf>
    <xf numFmtId="3" fontId="7" fillId="44" borderId="20" xfId="146" applyNumberFormat="1" applyFont="1" applyFill="1" applyBorder="1" applyAlignment="1">
      <alignment horizontal="center" vertical="center"/>
      <protection/>
    </xf>
    <xf numFmtId="3" fontId="7" fillId="44" borderId="20" xfId="146" applyNumberFormat="1" applyFont="1" applyFill="1" applyBorder="1" applyAlignment="1">
      <alignment horizontal="center" vertical="center"/>
      <protection/>
    </xf>
    <xf numFmtId="3" fontId="7" fillId="4" borderId="20" xfId="147" applyNumberFormat="1" applyFont="1" applyFill="1" applyBorder="1" applyAlignment="1">
      <alignment horizontal="center" vertical="center"/>
      <protection/>
    </xf>
    <xf numFmtId="49" fontId="7" fillId="0" borderId="20" xfId="146" applyNumberFormat="1" applyFont="1" applyBorder="1" applyAlignment="1">
      <alignment horizontal="center" vertical="center"/>
      <protection/>
    </xf>
    <xf numFmtId="49" fontId="7" fillId="47" borderId="20" xfId="146" applyNumberFormat="1" applyFont="1" applyFill="1" applyBorder="1" applyAlignment="1">
      <alignment horizontal="left" vertical="center"/>
      <protection/>
    </xf>
    <xf numFmtId="3" fontId="4" fillId="47" borderId="20" xfId="146" applyNumberFormat="1" applyFont="1" applyFill="1" applyBorder="1" applyAlignment="1">
      <alignment horizontal="center" vertical="center"/>
      <protection/>
    </xf>
    <xf numFmtId="3" fontId="4" fillId="44" borderId="20" xfId="146" applyNumberFormat="1" applyFont="1" applyFill="1" applyBorder="1" applyAlignment="1">
      <alignment horizontal="center" vertical="center"/>
      <protection/>
    </xf>
    <xf numFmtId="49" fontId="4" fillId="0" borderId="23" xfId="146" applyNumberFormat="1" applyFont="1" applyBorder="1" applyAlignment="1">
      <alignment horizontal="center" vertical="center"/>
      <protection/>
    </xf>
    <xf numFmtId="49" fontId="0" fillId="0" borderId="0" xfId="146" applyNumberFormat="1" applyFont="1" applyAlignment="1">
      <alignment vertical="center"/>
      <protection/>
    </xf>
    <xf numFmtId="3" fontId="4" fillId="0" borderId="20" xfId="146" applyNumberFormat="1" applyFont="1" applyFill="1" applyBorder="1" applyAlignment="1">
      <alignment horizontal="center" vertical="center"/>
      <protection/>
    </xf>
    <xf numFmtId="3" fontId="4" fillId="47" borderId="20" xfId="147" applyNumberFormat="1" applyFont="1" applyFill="1" applyBorder="1" applyAlignment="1">
      <alignment horizontal="center" vertical="center"/>
      <protection/>
    </xf>
    <xf numFmtId="49" fontId="4" fillId="47" borderId="23" xfId="146" applyNumberFormat="1" applyFont="1" applyFill="1" applyBorder="1" applyAlignment="1">
      <alignment horizontal="center" vertical="center"/>
      <protection/>
    </xf>
    <xf numFmtId="9" fontId="20" fillId="0" borderId="0" xfId="155" applyFont="1" applyAlignment="1">
      <alignment vertical="center"/>
    </xf>
    <xf numFmtId="49" fontId="4" fillId="0" borderId="0" xfId="146" applyNumberFormat="1" applyFont="1" applyBorder="1" applyAlignment="1">
      <alignment horizontal="center"/>
      <protection/>
    </xf>
    <xf numFmtId="49" fontId="4" fillId="47" borderId="0" xfId="146" applyNumberFormat="1" applyFont="1" applyFill="1" applyBorder="1" applyAlignment="1">
      <alignment horizontal="left"/>
      <protection/>
    </xf>
    <xf numFmtId="49" fontId="0" fillId="0" borderId="0" xfId="146" applyNumberFormat="1" applyFont="1" applyFill="1" applyBorder="1" applyAlignment="1">
      <alignment horizontal="center"/>
      <protection/>
    </xf>
    <xf numFmtId="3" fontId="4" fillId="47" borderId="19" xfId="147" applyNumberFormat="1" applyFont="1" applyFill="1" applyBorder="1" applyAlignment="1">
      <alignment horizontal="center" vertical="center"/>
      <protection/>
    </xf>
    <xf numFmtId="9" fontId="0" fillId="0" borderId="0" xfId="155" applyFont="1" applyAlignment="1">
      <alignment/>
    </xf>
    <xf numFmtId="49" fontId="28" fillId="0" borderId="0" xfId="146" applyNumberFormat="1" applyFont="1" applyBorder="1" applyAlignment="1">
      <alignment wrapText="1"/>
      <protection/>
    </xf>
    <xf numFmtId="3" fontId="4" fillId="47" borderId="0" xfId="147" applyNumberFormat="1" applyFont="1" applyFill="1" applyBorder="1" applyAlignment="1">
      <alignment horizontal="center" vertical="center"/>
      <protection/>
    </xf>
    <xf numFmtId="49" fontId="28" fillId="0" borderId="0" xfId="146" applyNumberFormat="1" applyFont="1" applyAlignment="1">
      <alignment wrapText="1"/>
      <protection/>
    </xf>
    <xf numFmtId="49" fontId="36" fillId="0" borderId="0" xfId="146" applyNumberFormat="1" applyFont="1">
      <alignment/>
      <protection/>
    </xf>
    <xf numFmtId="49" fontId="36" fillId="0" borderId="0" xfId="146" applyNumberFormat="1" applyFont="1" applyAlignment="1">
      <alignment wrapText="1"/>
      <protection/>
    </xf>
    <xf numFmtId="49" fontId="3" fillId="47" borderId="0" xfId="146" applyNumberFormat="1" applyFont="1" applyFill="1" applyAlignment="1">
      <alignment/>
      <protection/>
    </xf>
    <xf numFmtId="49" fontId="71" fillId="0" borderId="0" xfId="146" applyNumberFormat="1" applyFont="1">
      <alignment/>
      <protection/>
    </xf>
    <xf numFmtId="49" fontId="13" fillId="0" borderId="0" xfId="146" applyNumberFormat="1" applyFont="1" applyBorder="1" applyAlignment="1">
      <alignment wrapText="1"/>
      <protection/>
    </xf>
    <xf numFmtId="49" fontId="0" fillId="0" borderId="0" xfId="148" applyNumberFormat="1" applyFont="1" applyAlignment="1">
      <alignment horizontal="left"/>
      <protection/>
    </xf>
    <xf numFmtId="49" fontId="14" fillId="0" borderId="0" xfId="148" applyNumberFormat="1" applyFont="1" applyAlignment="1">
      <alignment wrapText="1"/>
      <protection/>
    </xf>
    <xf numFmtId="49" fontId="3" fillId="47" borderId="0" xfId="148" applyNumberFormat="1" applyFont="1" applyFill="1" applyBorder="1" applyAlignment="1">
      <alignment horizontal="left"/>
      <protection/>
    </xf>
    <xf numFmtId="49" fontId="0" fillId="47" borderId="0" xfId="148" applyNumberFormat="1" applyFont="1" applyFill="1" applyBorder="1" applyAlignment="1">
      <alignment horizontal="left"/>
      <protection/>
    </xf>
    <xf numFmtId="49" fontId="26" fillId="0" borderId="0" xfId="148" applyNumberFormat="1" applyFont="1">
      <alignment/>
      <protection/>
    </xf>
    <xf numFmtId="49" fontId="0" fillId="47" borderId="0" xfId="148" applyNumberFormat="1" applyFont="1" applyFill="1" applyBorder="1" applyAlignment="1">
      <alignment/>
      <protection/>
    </xf>
    <xf numFmtId="49" fontId="3" fillId="0" borderId="0" xfId="148" applyNumberFormat="1" applyFont="1" applyBorder="1" applyAlignment="1">
      <alignment horizontal="left"/>
      <protection/>
    </xf>
    <xf numFmtId="49" fontId="0" fillId="0" borderId="0" xfId="148" applyNumberFormat="1" applyFont="1" applyBorder="1" applyAlignment="1">
      <alignment horizontal="left"/>
      <protection/>
    </xf>
    <xf numFmtId="49" fontId="0" fillId="0" borderId="0" xfId="148" applyNumberFormat="1" applyFont="1" applyBorder="1" applyAlignment="1">
      <alignment/>
      <protection/>
    </xf>
    <xf numFmtId="49" fontId="18" fillId="0" borderId="22" xfId="148" applyNumberFormat="1" applyFont="1" applyBorder="1" applyAlignment="1">
      <alignment horizontal="left"/>
      <protection/>
    </xf>
    <xf numFmtId="49" fontId="3" fillId="0" borderId="22" xfId="148" applyNumberFormat="1" applyFont="1" applyBorder="1" applyAlignment="1">
      <alignment horizontal="left"/>
      <protection/>
    </xf>
    <xf numFmtId="49" fontId="26" fillId="0" borderId="0" xfId="148" applyNumberFormat="1" applyFont="1" applyFill="1">
      <alignment/>
      <protection/>
    </xf>
    <xf numFmtId="49" fontId="26" fillId="0" borderId="0" xfId="148" applyNumberFormat="1" applyFont="1" applyAlignment="1">
      <alignment vertical="center"/>
      <protection/>
    </xf>
    <xf numFmtId="49" fontId="6" fillId="47" borderId="20" xfId="148" applyNumberFormat="1" applyFont="1" applyFill="1" applyBorder="1" applyAlignment="1">
      <alignment horizontal="left" vertical="center"/>
      <protection/>
    </xf>
    <xf numFmtId="49" fontId="1" fillId="0" borderId="0" xfId="148" applyNumberFormat="1" applyFont="1">
      <alignment/>
      <protection/>
    </xf>
    <xf numFmtId="49" fontId="28" fillId="0" borderId="0" xfId="148" applyNumberFormat="1" applyFont="1" applyBorder="1" applyAlignment="1">
      <alignment/>
      <protection/>
    </xf>
    <xf numFmtId="49" fontId="78" fillId="0" borderId="0" xfId="148" applyNumberFormat="1" applyFont="1">
      <alignment/>
      <protection/>
    </xf>
    <xf numFmtId="49" fontId="25" fillId="0" borderId="0" xfId="148" applyNumberFormat="1" applyFont="1" applyBorder="1" applyAlignment="1">
      <alignment/>
      <protection/>
    </xf>
    <xf numFmtId="49" fontId="5" fillId="0" borderId="0" xfId="148" applyNumberFormat="1" applyFont="1">
      <alignment/>
      <protection/>
    </xf>
    <xf numFmtId="49" fontId="28" fillId="0" borderId="0" xfId="148" applyNumberFormat="1" applyFont="1" applyAlignment="1">
      <alignment horizontal="center"/>
      <protection/>
    </xf>
    <xf numFmtId="49" fontId="28" fillId="0" borderId="0" xfId="148" applyNumberFormat="1" applyFont="1">
      <alignment/>
      <protection/>
    </xf>
    <xf numFmtId="49" fontId="78" fillId="0" borderId="0" xfId="148" applyNumberFormat="1" applyFont="1" applyAlignment="1">
      <alignment horizontal="center"/>
      <protection/>
    </xf>
    <xf numFmtId="49" fontId="13" fillId="0" borderId="0" xfId="148" applyNumberFormat="1" applyFont="1" applyBorder="1" applyAlignment="1">
      <alignment wrapText="1"/>
      <protection/>
    </xf>
    <xf numFmtId="49" fontId="80" fillId="0" borderId="0" xfId="148" applyNumberFormat="1" applyFont="1">
      <alignment/>
      <protection/>
    </xf>
    <xf numFmtId="9" fontId="26" fillId="0" borderId="0" xfId="155" applyFont="1" applyAlignment="1">
      <alignment/>
    </xf>
    <xf numFmtId="3" fontId="0" fillId="47" borderId="0" xfId="148" applyNumberFormat="1" applyFont="1" applyFill="1" applyBorder="1" applyAlignment="1">
      <alignment/>
      <protection/>
    </xf>
    <xf numFmtId="0" fontId="26" fillId="0" borderId="0" xfId="148">
      <alignment/>
      <protection/>
    </xf>
    <xf numFmtId="0" fontId="0" fillId="0" borderId="0" xfId="148" applyFont="1" applyAlignment="1">
      <alignment horizontal="left"/>
      <protection/>
    </xf>
    <xf numFmtId="0" fontId="0" fillId="0" borderId="0" xfId="148" applyFont="1" applyBorder="1" applyAlignment="1">
      <alignment/>
      <protection/>
    </xf>
    <xf numFmtId="0" fontId="0" fillId="0" borderId="0" xfId="148" applyFont="1" applyBorder="1" applyAlignment="1">
      <alignment horizontal="left"/>
      <protection/>
    </xf>
    <xf numFmtId="0" fontId="26" fillId="0" borderId="0" xfId="148" applyFont="1">
      <alignment/>
      <protection/>
    </xf>
    <xf numFmtId="0" fontId="6" fillId="0" borderId="20" xfId="148" applyFont="1" applyBorder="1" applyAlignment="1">
      <alignment horizontal="center" vertical="center"/>
      <protection/>
    </xf>
    <xf numFmtId="0" fontId="6" fillId="47" borderId="20" xfId="148" applyFont="1" applyFill="1" applyBorder="1" applyAlignment="1">
      <alignment horizontal="left" vertical="center"/>
      <protection/>
    </xf>
    <xf numFmtId="9" fontId="26" fillId="0" borderId="0" xfId="155" applyFont="1" applyAlignment="1">
      <alignment vertical="center"/>
    </xf>
    <xf numFmtId="0" fontId="5" fillId="0" borderId="23" xfId="148" applyFont="1" applyBorder="1" applyAlignment="1">
      <alignment horizontal="center" vertical="center"/>
      <protection/>
    </xf>
    <xf numFmtId="0" fontId="26" fillId="0" borderId="0" xfId="148" applyFont="1" applyAlignment="1">
      <alignment vertical="center"/>
      <protection/>
    </xf>
    <xf numFmtId="0" fontId="1" fillId="0" borderId="0" xfId="148" applyFont="1">
      <alignment/>
      <protection/>
    </xf>
    <xf numFmtId="0" fontId="25" fillId="0" borderId="0" xfId="148" applyFont="1" applyBorder="1" applyAlignment="1">
      <alignment horizontal="center" wrapText="1"/>
      <protection/>
    </xf>
    <xf numFmtId="0" fontId="28" fillId="0" borderId="0" xfId="148" applyFont="1" applyBorder="1" applyAlignment="1">
      <alignment wrapText="1"/>
      <protection/>
    </xf>
    <xf numFmtId="0" fontId="25" fillId="0" borderId="0" xfId="148" applyNumberFormat="1" applyFont="1" applyBorder="1" applyAlignment="1">
      <alignment/>
      <protection/>
    </xf>
    <xf numFmtId="0" fontId="78" fillId="0" borderId="0" xfId="148" applyFont="1">
      <alignment/>
      <protection/>
    </xf>
    <xf numFmtId="0" fontId="25" fillId="0" borderId="0" xfId="148" applyNumberFormat="1" applyFont="1" applyBorder="1" applyAlignment="1">
      <alignment horizontal="center"/>
      <protection/>
    </xf>
    <xf numFmtId="0" fontId="5" fillId="0" borderId="0" xfId="148" applyFont="1">
      <alignment/>
      <protection/>
    </xf>
    <xf numFmtId="0" fontId="28" fillId="0" borderId="0" xfId="148" applyFont="1">
      <alignment/>
      <protection/>
    </xf>
    <xf numFmtId="0" fontId="25" fillId="0" borderId="0" xfId="146" applyFont="1" applyAlignment="1">
      <alignment/>
      <protection/>
    </xf>
    <xf numFmtId="49" fontId="19" fillId="0" borderId="0" xfId="148" applyNumberFormat="1" applyFont="1">
      <alignment/>
      <protection/>
    </xf>
    <xf numFmtId="49" fontId="4" fillId="47" borderId="0" xfId="148" applyNumberFormat="1" applyFont="1" applyFill="1" applyBorder="1" applyAlignment="1">
      <alignment horizontal="left"/>
      <protection/>
    </xf>
    <xf numFmtId="49" fontId="4" fillId="0" borderId="0" xfId="148" applyNumberFormat="1" applyFont="1" applyBorder="1" applyAlignment="1">
      <alignment horizontal="left"/>
      <protection/>
    </xf>
    <xf numFmtId="49" fontId="0" fillId="0" borderId="22" xfId="148" applyNumberFormat="1" applyFont="1" applyBorder="1" applyAlignment="1">
      <alignment/>
      <protection/>
    </xf>
    <xf numFmtId="49" fontId="6" fillId="0" borderId="20" xfId="148" applyNumberFormat="1" applyFont="1" applyFill="1" applyBorder="1" applyAlignment="1">
      <alignment horizontal="center" vertical="center" wrapText="1"/>
      <protection/>
    </xf>
    <xf numFmtId="49" fontId="5" fillId="0" borderId="24" xfId="148" applyNumberFormat="1" applyFont="1" applyFill="1" applyBorder="1">
      <alignment/>
      <protection/>
    </xf>
    <xf numFmtId="49" fontId="5" fillId="0" borderId="0" xfId="148" applyNumberFormat="1" applyFont="1" applyFill="1">
      <alignment/>
      <protection/>
    </xf>
    <xf numFmtId="49" fontId="24" fillId="0" borderId="0" xfId="148" applyNumberFormat="1" applyFont="1" applyFill="1">
      <alignment/>
      <protection/>
    </xf>
    <xf numFmtId="49" fontId="6" fillId="0" borderId="25" xfId="148" applyNumberFormat="1" applyFont="1" applyFill="1" applyBorder="1" applyAlignment="1">
      <alignment horizontal="center" vertical="center" wrapText="1"/>
      <protection/>
    </xf>
    <xf numFmtId="49" fontId="19" fillId="0" borderId="20" xfId="148" applyNumberFormat="1" applyFont="1" applyFill="1" applyBorder="1" applyAlignment="1">
      <alignment horizontal="center" vertical="center"/>
      <protection/>
    </xf>
    <xf numFmtId="49" fontId="19" fillId="0" borderId="20" xfId="148" applyNumberFormat="1" applyFont="1" applyBorder="1" applyAlignment="1">
      <alignment horizontal="center" vertical="center"/>
      <protection/>
    </xf>
    <xf numFmtId="49" fontId="5" fillId="0" borderId="0" xfId="148" applyNumberFormat="1" applyFont="1" applyAlignment="1">
      <alignment vertical="center"/>
      <protection/>
    </xf>
    <xf numFmtId="3" fontId="29" fillId="3" borderId="20" xfId="148" applyNumberFormat="1" applyFont="1" applyFill="1" applyBorder="1" applyAlignment="1">
      <alignment horizontal="center" vertical="center"/>
      <protection/>
    </xf>
    <xf numFmtId="3" fontId="68" fillId="3" borderId="20" xfId="148" applyNumberFormat="1" applyFont="1" applyFill="1" applyBorder="1" applyAlignment="1">
      <alignment horizontal="center" vertical="center"/>
      <protection/>
    </xf>
    <xf numFmtId="3" fontId="29" fillId="4" borderId="20" xfId="148" applyNumberFormat="1" applyFont="1" applyFill="1" applyBorder="1" applyAlignment="1">
      <alignment horizontal="center" vertical="center"/>
      <protection/>
    </xf>
    <xf numFmtId="3" fontId="6" fillId="44" borderId="20" xfId="148" applyNumberFormat="1" applyFont="1" applyFill="1" applyBorder="1" applyAlignment="1">
      <alignment horizontal="center" vertical="center"/>
      <protection/>
    </xf>
    <xf numFmtId="49" fontId="6" fillId="0" borderId="20" xfId="148" applyNumberFormat="1" applyFont="1" applyBorder="1" applyAlignment="1">
      <alignment horizontal="center" vertical="center"/>
      <protection/>
    </xf>
    <xf numFmtId="3" fontId="5" fillId="47" borderId="20" xfId="148" applyNumberFormat="1" applyFont="1" applyFill="1" applyBorder="1" applyAlignment="1">
      <alignment horizontal="center" vertical="center"/>
      <protection/>
    </xf>
    <xf numFmtId="49" fontId="6" fillId="0" borderId="23" xfId="148" applyNumberFormat="1" applyFont="1" applyBorder="1" applyAlignment="1">
      <alignment horizontal="center" vertical="center"/>
      <protection/>
    </xf>
    <xf numFmtId="49" fontId="5" fillId="0" borderId="23" xfId="148" applyNumberFormat="1" applyFont="1" applyBorder="1" applyAlignment="1">
      <alignment horizontal="center" vertical="center"/>
      <protection/>
    </xf>
    <xf numFmtId="3" fontId="5" fillId="0" borderId="20" xfId="148" applyNumberFormat="1" applyFont="1" applyBorder="1" applyAlignment="1">
      <alignment horizontal="center" vertical="center"/>
      <protection/>
    </xf>
    <xf numFmtId="49" fontId="86" fillId="0" borderId="0" xfId="148" applyNumberFormat="1" applyFont="1">
      <alignment/>
      <protection/>
    </xf>
    <xf numFmtId="49" fontId="26" fillId="0" borderId="0" xfId="148" applyNumberFormat="1">
      <alignment/>
      <protection/>
    </xf>
    <xf numFmtId="49" fontId="28" fillId="0" borderId="0" xfId="148" applyNumberFormat="1" applyFont="1" applyBorder="1" applyAlignment="1">
      <alignment wrapText="1"/>
      <protection/>
    </xf>
    <xf numFmtId="49" fontId="21" fillId="0" borderId="0" xfId="148" applyNumberFormat="1" applyFont="1">
      <alignment/>
      <protection/>
    </xf>
    <xf numFmtId="49" fontId="30" fillId="0" borderId="0" xfId="148" applyNumberFormat="1" applyFont="1">
      <alignment/>
      <protection/>
    </xf>
    <xf numFmtId="49" fontId="30" fillId="0" borderId="0" xfId="148" applyNumberFormat="1" applyFont="1" applyAlignment="1">
      <alignment horizontal="center"/>
      <protection/>
    </xf>
    <xf numFmtId="0" fontId="4" fillId="0" borderId="0" xfId="148" applyNumberFormat="1" applyFont="1" applyAlignment="1">
      <alignment horizontal="left"/>
      <protection/>
    </xf>
    <xf numFmtId="0" fontId="5" fillId="0" borderId="0" xfId="148" applyFont="1" applyAlignment="1">
      <alignment/>
      <protection/>
    </xf>
    <xf numFmtId="3" fontId="5" fillId="0" borderId="0" xfId="148" applyNumberFormat="1" applyFont="1">
      <alignment/>
      <protection/>
    </xf>
    <xf numFmtId="0" fontId="7" fillId="0" borderId="0" xfId="148" applyFont="1" applyBorder="1" applyAlignment="1">
      <alignment/>
      <protection/>
    </xf>
    <xf numFmtId="0" fontId="26" fillId="0" borderId="24" xfId="148" applyFont="1" applyBorder="1">
      <alignment/>
      <protection/>
    </xf>
    <xf numFmtId="0" fontId="26" fillId="0" borderId="0" xfId="148" applyFont="1" applyBorder="1">
      <alignment/>
      <protection/>
    </xf>
    <xf numFmtId="0" fontId="12" fillId="0" borderId="20" xfId="148" applyFont="1" applyBorder="1" applyAlignment="1">
      <alignment horizontal="center" vertical="center" wrapText="1"/>
      <protection/>
    </xf>
    <xf numFmtId="0" fontId="19" fillId="0" borderId="23" xfId="148" applyFont="1" applyFill="1" applyBorder="1" applyAlignment="1">
      <alignment horizontal="center" vertical="center"/>
      <protection/>
    </xf>
    <xf numFmtId="0" fontId="19" fillId="0" borderId="20" xfId="148" applyFont="1" applyFill="1" applyBorder="1" applyAlignment="1">
      <alignment horizontal="center" vertical="center"/>
      <protection/>
    </xf>
    <xf numFmtId="0" fontId="19" fillId="0" borderId="20" xfId="148" applyFont="1" applyBorder="1" applyAlignment="1">
      <alignment horizontal="center" vertical="center"/>
      <protection/>
    </xf>
    <xf numFmtId="3" fontId="20" fillId="3" borderId="20" xfId="148" applyNumberFormat="1" applyFont="1" applyFill="1" applyBorder="1" applyAlignment="1">
      <alignment horizontal="center" vertical="center"/>
      <protection/>
    </xf>
    <xf numFmtId="3" fontId="34" fillId="3" borderId="20" xfId="148" applyNumberFormat="1" applyFont="1" applyFill="1" applyBorder="1" applyAlignment="1">
      <alignment horizontal="center" vertical="center"/>
      <protection/>
    </xf>
    <xf numFmtId="3" fontId="3" fillId="44" borderId="23" xfId="148" applyNumberFormat="1" applyFont="1" applyFill="1" applyBorder="1" applyAlignment="1">
      <alignment horizontal="center" vertical="center"/>
      <protection/>
    </xf>
    <xf numFmtId="3" fontId="0" fillId="48" borderId="23" xfId="148" applyNumberFormat="1" applyFont="1" applyFill="1" applyBorder="1" applyAlignment="1">
      <alignment horizontal="center" vertical="center"/>
      <protection/>
    </xf>
    <xf numFmtId="3" fontId="0" fillId="0" borderId="20" xfId="148" applyNumberFormat="1" applyFont="1" applyBorder="1" applyAlignment="1">
      <alignment horizontal="center" vertical="center"/>
      <protection/>
    </xf>
    <xf numFmtId="3" fontId="0" fillId="0" borderId="26" xfId="148" applyNumberFormat="1" applyFont="1" applyBorder="1" applyAlignment="1">
      <alignment horizontal="center" vertical="center"/>
      <protection/>
    </xf>
    <xf numFmtId="0" fontId="6" fillId="0" borderId="23" xfId="148" applyFont="1" applyBorder="1" applyAlignment="1">
      <alignment horizontal="center" vertical="center"/>
      <protection/>
    </xf>
    <xf numFmtId="3" fontId="0" fillId="44" borderId="23" xfId="148" applyNumberFormat="1" applyFont="1" applyFill="1" applyBorder="1" applyAlignment="1">
      <alignment horizontal="center" vertical="center"/>
      <protection/>
    </xf>
    <xf numFmtId="3" fontId="0" fillId="47" borderId="20" xfId="148" applyNumberFormat="1" applyFont="1" applyFill="1" applyBorder="1" applyAlignment="1">
      <alignment horizontal="center" vertical="center"/>
      <protection/>
    </xf>
    <xf numFmtId="3" fontId="0" fillId="47" borderId="26" xfId="148" applyNumberFormat="1" applyFont="1" applyFill="1" applyBorder="1" applyAlignment="1">
      <alignment horizontal="center" vertical="center"/>
      <protection/>
    </xf>
    <xf numFmtId="0" fontId="28" fillId="0" borderId="0" xfId="148" applyNumberFormat="1" applyFont="1" applyBorder="1" applyAlignment="1">
      <alignment/>
      <protection/>
    </xf>
    <xf numFmtId="0" fontId="87" fillId="0" borderId="0" xfId="148" applyFont="1">
      <alignment/>
      <protection/>
    </xf>
    <xf numFmtId="0" fontId="16" fillId="0" borderId="0" xfId="148" applyFont="1">
      <alignment/>
      <protection/>
    </xf>
    <xf numFmtId="0" fontId="27" fillId="0" borderId="0" xfId="148" applyFont="1">
      <alignment/>
      <protection/>
    </xf>
    <xf numFmtId="0" fontId="13" fillId="0" borderId="0" xfId="148" applyFont="1">
      <alignment/>
      <protection/>
    </xf>
    <xf numFmtId="49" fontId="13" fillId="0" borderId="0" xfId="148" applyNumberFormat="1" applyFont="1">
      <alignment/>
      <protection/>
    </xf>
    <xf numFmtId="0" fontId="80" fillId="0" borderId="0" xfId="148" applyFont="1">
      <alignment/>
      <protection/>
    </xf>
    <xf numFmtId="49" fontId="18" fillId="0" borderId="0" xfId="148" applyNumberFormat="1" applyFont="1" applyBorder="1" applyAlignment="1">
      <alignment/>
      <protection/>
    </xf>
    <xf numFmtId="49" fontId="26" fillId="0" borderId="0" xfId="148" applyNumberFormat="1" applyFont="1" applyAlignment="1">
      <alignment horizontal="center"/>
      <protection/>
    </xf>
    <xf numFmtId="3" fontId="19" fillId="47" borderId="22" xfId="148" applyNumberFormat="1" applyFont="1" applyFill="1" applyBorder="1" applyAlignment="1">
      <alignment horizontal="center"/>
      <protection/>
    </xf>
    <xf numFmtId="49" fontId="5" fillId="0" borderId="22" xfId="148" applyNumberFormat="1" applyFont="1" applyBorder="1" applyAlignment="1">
      <alignment/>
      <protection/>
    </xf>
    <xf numFmtId="49" fontId="26" fillId="0" borderId="0" xfId="148" applyNumberFormat="1" applyFill="1">
      <alignment/>
      <protection/>
    </xf>
    <xf numFmtId="49" fontId="26" fillId="0" borderId="0" xfId="148" applyNumberFormat="1" applyFill="1" applyAlignment="1">
      <alignment vertical="center" wrapText="1"/>
      <protection/>
    </xf>
    <xf numFmtId="49" fontId="26" fillId="0" borderId="0" xfId="148" applyNumberFormat="1" applyAlignment="1">
      <alignment vertical="center"/>
      <protection/>
    </xf>
    <xf numFmtId="3" fontId="5" fillId="44" borderId="20" xfId="148" applyNumberFormat="1" applyFont="1" applyFill="1" applyBorder="1" applyAlignment="1">
      <alignment horizontal="center" vertical="center"/>
      <protection/>
    </xf>
    <xf numFmtId="3" fontId="26" fillId="0" borderId="20" xfId="148" applyNumberFormat="1" applyFont="1" applyBorder="1" applyAlignment="1">
      <alignment horizontal="center" vertical="center"/>
      <protection/>
    </xf>
    <xf numFmtId="0" fontId="5" fillId="0" borderId="20" xfId="148" applyFont="1" applyBorder="1" applyAlignment="1">
      <alignment horizontal="center" vertical="center"/>
      <protection/>
    </xf>
    <xf numFmtId="3" fontId="5" fillId="0" borderId="20" xfId="148" applyNumberFormat="1" applyFont="1" applyFill="1" applyBorder="1" applyAlignment="1">
      <alignment horizontal="center" vertical="center"/>
      <protection/>
    </xf>
    <xf numFmtId="3" fontId="26" fillId="0" borderId="20" xfId="148" applyNumberFormat="1" applyFont="1" applyFill="1" applyBorder="1" applyAlignment="1">
      <alignment horizontal="center" vertical="center"/>
      <protection/>
    </xf>
    <xf numFmtId="49" fontId="26" fillId="0" borderId="0" xfId="148" applyNumberFormat="1" applyAlignment="1">
      <alignment horizontal="center"/>
      <protection/>
    </xf>
    <xf numFmtId="49" fontId="71" fillId="0" borderId="0" xfId="148" applyNumberFormat="1" applyFont="1" applyAlignment="1">
      <alignment horizontal="left"/>
      <protection/>
    </xf>
    <xf numFmtId="49" fontId="30" fillId="0" borderId="0" xfId="148" applyNumberFormat="1" applyFont="1" applyAlignment="1">
      <alignment/>
      <protection/>
    </xf>
    <xf numFmtId="49" fontId="3" fillId="47" borderId="0" xfId="148" applyNumberFormat="1" applyFont="1" applyFill="1" applyBorder="1" applyAlignment="1">
      <alignment/>
      <protection/>
    </xf>
    <xf numFmtId="49" fontId="3" fillId="0" borderId="0" xfId="148" applyNumberFormat="1" applyFont="1" applyAlignment="1">
      <alignment/>
      <protection/>
    </xf>
    <xf numFmtId="49" fontId="3" fillId="0" borderId="0" xfId="148" applyNumberFormat="1" applyFont="1" applyBorder="1" applyAlignment="1">
      <alignment/>
      <protection/>
    </xf>
    <xf numFmtId="49" fontId="6" fillId="0" borderId="22" xfId="148" applyNumberFormat="1" applyFont="1" applyBorder="1" applyAlignment="1">
      <alignment/>
      <protection/>
    </xf>
    <xf numFmtId="3" fontId="19" fillId="0" borderId="20" xfId="148" applyNumberFormat="1" applyFont="1" applyBorder="1" applyAlignment="1">
      <alignment horizontal="center" vertical="center"/>
      <protection/>
    </xf>
    <xf numFmtId="49" fontId="26" fillId="47" borderId="0" xfId="148" applyNumberFormat="1" applyFont="1" applyFill="1" applyAlignment="1">
      <alignment vertical="center"/>
      <protection/>
    </xf>
    <xf numFmtId="3" fontId="26" fillId="47" borderId="20" xfId="148" applyNumberFormat="1" applyFont="1" applyFill="1" applyBorder="1" applyAlignment="1">
      <alignment horizontal="center" vertical="center"/>
      <protection/>
    </xf>
    <xf numFmtId="3" fontId="90" fillId="0" borderId="20" xfId="148" applyNumberFormat="1" applyFont="1" applyBorder="1" applyAlignment="1">
      <alignment horizontal="center" vertical="center"/>
      <protection/>
    </xf>
    <xf numFmtId="0" fontId="5" fillId="0" borderId="19" xfId="148" applyFont="1" applyFill="1" applyBorder="1" applyAlignment="1">
      <alignment horizontal="center" vertical="center"/>
      <protection/>
    </xf>
    <xf numFmtId="49" fontId="6" fillId="0" borderId="19" xfId="146" applyNumberFormat="1" applyFont="1" applyFill="1" applyBorder="1" applyAlignment="1">
      <alignment horizontal="left" vertical="center"/>
      <protection/>
    </xf>
    <xf numFmtId="3" fontId="5" fillId="0" borderId="19" xfId="148" applyNumberFormat="1" applyFont="1" applyFill="1" applyBorder="1" applyAlignment="1">
      <alignment horizontal="center" vertical="center"/>
      <protection/>
    </xf>
    <xf numFmtId="3" fontId="19" fillId="0" borderId="19" xfId="148" applyNumberFormat="1" applyFont="1" applyFill="1" applyBorder="1" applyAlignment="1">
      <alignment horizontal="center" vertical="center"/>
      <protection/>
    </xf>
    <xf numFmtId="3" fontId="26" fillId="0" borderId="19" xfId="148" applyNumberFormat="1" applyFont="1" applyFill="1" applyBorder="1" applyAlignment="1">
      <alignment vertical="center"/>
      <protection/>
    </xf>
    <xf numFmtId="3" fontId="91" fillId="0" borderId="19" xfId="148" applyNumberFormat="1" applyFont="1" applyFill="1" applyBorder="1" applyAlignment="1">
      <alignment vertical="center"/>
      <protection/>
    </xf>
    <xf numFmtId="49" fontId="30" fillId="0" borderId="0" xfId="148" applyNumberFormat="1" applyFont="1" applyBorder="1" applyAlignment="1">
      <alignment/>
      <protection/>
    </xf>
    <xf numFmtId="49" fontId="28" fillId="0" borderId="0" xfId="148" applyNumberFormat="1" applyFont="1" applyBorder="1" applyAlignment="1">
      <alignment horizontal="center"/>
      <protection/>
    </xf>
    <xf numFmtId="49" fontId="28" fillId="0" borderId="0" xfId="148" applyNumberFormat="1" applyFont="1" applyAlignment="1">
      <alignment/>
      <protection/>
    </xf>
    <xf numFmtId="0" fontId="5" fillId="47" borderId="0" xfId="148" applyFont="1" applyFill="1" applyBorder="1" applyAlignment="1">
      <alignment/>
      <protection/>
    </xf>
    <xf numFmtId="49" fontId="92" fillId="0" borderId="0" xfId="148" applyNumberFormat="1" applyFont="1">
      <alignment/>
      <protection/>
    </xf>
    <xf numFmtId="49" fontId="93" fillId="0" borderId="0" xfId="148" applyNumberFormat="1" applyFont="1">
      <alignment/>
      <protection/>
    </xf>
    <xf numFmtId="49" fontId="94" fillId="0" borderId="0" xfId="148" applyNumberFormat="1" applyFont="1" applyAlignment="1">
      <alignment horizontal="center"/>
      <protection/>
    </xf>
    <xf numFmtId="49" fontId="25" fillId="47" borderId="0" xfId="146" applyNumberFormat="1" applyFont="1" applyFill="1" applyAlignment="1">
      <alignment/>
      <protection/>
    </xf>
    <xf numFmtId="49" fontId="79" fillId="0" borderId="0" xfId="148" applyNumberFormat="1" applyFont="1">
      <alignment/>
      <protection/>
    </xf>
    <xf numFmtId="49" fontId="30" fillId="0" borderId="0" xfId="148" applyNumberFormat="1" applyFont="1" applyBorder="1" applyAlignment="1">
      <alignment wrapText="1"/>
      <protection/>
    </xf>
    <xf numFmtId="49" fontId="82" fillId="0" borderId="0" xfId="148" applyNumberFormat="1" applyFont="1">
      <alignment/>
      <protection/>
    </xf>
    <xf numFmtId="49" fontId="77" fillId="0" borderId="0" xfId="148" applyNumberFormat="1" applyFont="1">
      <alignment/>
      <protection/>
    </xf>
    <xf numFmtId="49" fontId="14" fillId="0" borderId="0" xfId="148" applyNumberFormat="1" applyFont="1" applyFill="1" applyAlignment="1">
      <alignment wrapText="1"/>
      <protection/>
    </xf>
    <xf numFmtId="49" fontId="0" fillId="0" borderId="0" xfId="148" applyNumberFormat="1" applyFont="1" applyFill="1" applyBorder="1" applyAlignment="1">
      <alignment/>
      <protection/>
    </xf>
    <xf numFmtId="49" fontId="3" fillId="0" borderId="0" xfId="148" applyNumberFormat="1" applyFont="1" applyFill="1" applyBorder="1" applyAlignment="1">
      <alignment/>
      <protection/>
    </xf>
    <xf numFmtId="49" fontId="95" fillId="0" borderId="0" xfId="148" applyNumberFormat="1" applyFont="1" applyFill="1">
      <alignment/>
      <protection/>
    </xf>
    <xf numFmtId="49" fontId="26" fillId="0" borderId="0" xfId="148" applyNumberFormat="1" applyFont="1" applyFill="1" applyAlignment="1">
      <alignment horizontal="center"/>
      <protection/>
    </xf>
    <xf numFmtId="49" fontId="19" fillId="0" borderId="0" xfId="148" applyNumberFormat="1" applyFont="1" applyFill="1" applyBorder="1" applyAlignment="1">
      <alignment/>
      <protection/>
    </xf>
    <xf numFmtId="49" fontId="6" fillId="0" borderId="0" xfId="148" applyNumberFormat="1" applyFont="1" applyFill="1" applyBorder="1" applyAlignment="1">
      <alignment/>
      <protection/>
    </xf>
    <xf numFmtId="49" fontId="81" fillId="0" borderId="0" xfId="148" applyNumberFormat="1" applyFont="1" applyFill="1">
      <alignment/>
      <protection/>
    </xf>
    <xf numFmtId="49" fontId="81" fillId="0" borderId="0" xfId="148" applyNumberFormat="1" applyFont="1" applyFill="1" applyAlignment="1">
      <alignment/>
      <protection/>
    </xf>
    <xf numFmtId="49" fontId="19" fillId="0" borderId="27" xfId="148" applyNumberFormat="1" applyFont="1" applyFill="1" applyBorder="1" applyAlignment="1">
      <alignment horizontal="center" vertical="center"/>
      <protection/>
    </xf>
    <xf numFmtId="3" fontId="6" fillId="44" borderId="27" xfId="148" applyNumberFormat="1" applyFont="1" applyFill="1" applyBorder="1" applyAlignment="1">
      <alignment horizontal="center" vertical="center"/>
      <protection/>
    </xf>
    <xf numFmtId="3" fontId="6" fillId="44" borderId="23" xfId="148" applyNumberFormat="1" applyFont="1" applyFill="1" applyBorder="1" applyAlignment="1">
      <alignment horizontal="center" vertical="center"/>
      <protection/>
    </xf>
    <xf numFmtId="49" fontId="3" fillId="0" borderId="0" xfId="148" applyNumberFormat="1" applyFont="1" applyAlignment="1">
      <alignment horizontal="center"/>
      <protection/>
    </xf>
    <xf numFmtId="49" fontId="25" fillId="0" borderId="0" xfId="148" applyNumberFormat="1" applyFont="1">
      <alignment/>
      <protection/>
    </xf>
    <xf numFmtId="49" fontId="3" fillId="0" borderId="0" xfId="148" applyNumberFormat="1" applyFont="1">
      <alignment/>
      <protection/>
    </xf>
    <xf numFmtId="49" fontId="28" fillId="0" borderId="0" xfId="148" applyNumberFormat="1" applyFont="1">
      <alignment/>
      <protection/>
    </xf>
    <xf numFmtId="3" fontId="3" fillId="47" borderId="0" xfId="148" applyNumberFormat="1" applyFont="1" applyFill="1" applyBorder="1" applyAlignment="1">
      <alignment/>
      <protection/>
    </xf>
    <xf numFmtId="0" fontId="3" fillId="0" borderId="0" xfId="148" applyFont="1">
      <alignment/>
      <protection/>
    </xf>
    <xf numFmtId="0" fontId="4" fillId="0" borderId="0" xfId="148" applyFont="1" applyBorder="1" applyAlignment="1">
      <alignment horizontal="left"/>
      <protection/>
    </xf>
    <xf numFmtId="3" fontId="0" fillId="0" borderId="0" xfId="148" applyNumberFormat="1" applyFont="1" applyAlignment="1">
      <alignment horizontal="left"/>
      <protection/>
    </xf>
    <xf numFmtId="0" fontId="13" fillId="0" borderId="0" xfId="148" applyFont="1" applyBorder="1" applyAlignment="1">
      <alignment/>
      <protection/>
    </xf>
    <xf numFmtId="0" fontId="7" fillId="0" borderId="20" xfId="148" applyFont="1" applyFill="1" applyBorder="1" applyAlignment="1">
      <alignment horizontal="center" vertical="center" wrapText="1"/>
      <protection/>
    </xf>
    <xf numFmtId="0" fontId="3" fillId="0" borderId="0" xfId="148" applyFont="1" applyFill="1" applyBorder="1">
      <alignment/>
      <protection/>
    </xf>
    <xf numFmtId="0" fontId="3" fillId="0" borderId="0" xfId="148" applyFont="1" applyFill="1">
      <alignment/>
      <protection/>
    </xf>
    <xf numFmtId="3" fontId="18" fillId="0" borderId="20" xfId="148" applyNumberFormat="1" applyFont="1" applyBorder="1" applyAlignment="1">
      <alignment horizontal="center" vertical="center"/>
      <protection/>
    </xf>
    <xf numFmtId="0" fontId="0" fillId="0" borderId="0" xfId="148" applyFont="1" applyAlignment="1">
      <alignment horizontal="center" vertical="center"/>
      <protection/>
    </xf>
    <xf numFmtId="3" fontId="4" fillId="44" borderId="20" xfId="148" applyNumberFormat="1" applyFont="1" applyFill="1" applyBorder="1" applyAlignment="1">
      <alignment horizontal="center" vertical="center"/>
      <protection/>
    </xf>
    <xf numFmtId="0" fontId="3" fillId="0" borderId="0" xfId="148" applyFont="1" applyAlignment="1">
      <alignment vertical="center"/>
      <protection/>
    </xf>
    <xf numFmtId="9" fontId="3" fillId="0" borderId="0" xfId="155" applyFont="1" applyAlignment="1">
      <alignment vertical="center"/>
    </xf>
    <xf numFmtId="0" fontId="3" fillId="0" borderId="0" xfId="148" applyFont="1" applyAlignment="1">
      <alignment horizontal="center"/>
      <protection/>
    </xf>
    <xf numFmtId="0" fontId="25" fillId="0" borderId="0" xfId="148" applyFont="1">
      <alignment/>
      <protection/>
    </xf>
    <xf numFmtId="0" fontId="71" fillId="0" borderId="0" xfId="148" applyFont="1" applyAlignment="1">
      <alignment horizontal="center"/>
      <protection/>
    </xf>
    <xf numFmtId="49" fontId="51" fillId="0" borderId="0" xfId="148" applyNumberFormat="1" applyFont="1">
      <alignment/>
      <protection/>
    </xf>
    <xf numFmtId="49" fontId="96" fillId="0" borderId="0" xfId="148" applyNumberFormat="1" applyFont="1" applyBorder="1" applyAlignment="1">
      <alignment wrapText="1"/>
      <protection/>
    </xf>
    <xf numFmtId="0" fontId="30" fillId="0" borderId="0" xfId="148"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44"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44"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44" applyNumberFormat="1" applyFont="1" applyFill="1" applyBorder="1" applyAlignment="1" applyProtection="1">
      <alignment horizontal="center" vertical="center"/>
      <protection/>
    </xf>
    <xf numFmtId="10" fontId="28" fillId="0" borderId="20" xfId="136" applyNumberFormat="1" applyFont="1" applyFill="1" applyBorder="1" applyAlignment="1">
      <alignment horizontal="center" vertical="center"/>
      <protection/>
    </xf>
    <xf numFmtId="10" fontId="51" fillId="0" borderId="20" xfId="136"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6" applyNumberFormat="1" applyFont="1" applyFill="1" applyBorder="1" applyAlignment="1">
      <alignment horizontal="center" vertical="center"/>
      <protection/>
    </xf>
    <xf numFmtId="3" fontId="56" fillId="47" borderId="20" xfId="144"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44" applyNumberFormat="1" applyFont="1" applyFill="1" applyBorder="1" applyAlignment="1" applyProtection="1">
      <alignment horizontal="center" vertical="center"/>
      <protection/>
    </xf>
    <xf numFmtId="10" fontId="56" fillId="0" borderId="36" xfId="136"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4" applyNumberFormat="1" applyFont="1" applyFill="1" applyBorder="1" applyAlignment="1" applyProtection="1">
      <alignment horizontal="center" vertical="center"/>
      <protection/>
    </xf>
    <xf numFmtId="3" fontId="4" fillId="47" borderId="37" xfId="144"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20" fillId="49" borderId="20" xfId="0" applyFont="1" applyFill="1" applyBorder="1" applyAlignment="1">
      <alignment/>
    </xf>
    <xf numFmtId="0" fontId="0" fillId="49" borderId="38" xfId="0" applyFont="1" applyFill="1" applyBorder="1" applyAlignment="1">
      <alignment/>
    </xf>
    <xf numFmtId="0" fontId="0" fillId="49" borderId="20" xfId="0" applyFont="1" applyFill="1" applyBorder="1" applyAlignment="1">
      <alignment/>
    </xf>
    <xf numFmtId="49" fontId="0" fillId="47" borderId="0" xfId="0" applyNumberFormat="1" applyFont="1" applyFill="1" applyAlignment="1">
      <alignment/>
    </xf>
    <xf numFmtId="49" fontId="0" fillId="47" borderId="0" xfId="0" applyNumberFormat="1" applyFont="1" applyFill="1" applyAlignment="1">
      <alignment/>
    </xf>
    <xf numFmtId="0" fontId="0" fillId="47" borderId="0" xfId="0" applyNumberFormat="1" applyFont="1" applyFill="1" applyAlignment="1">
      <alignment/>
    </xf>
    <xf numFmtId="49" fontId="13" fillId="0" borderId="0" xfId="0" applyNumberFormat="1" applyFont="1" applyFill="1" applyAlignment="1">
      <alignment/>
    </xf>
    <xf numFmtId="49" fontId="28" fillId="0" borderId="0" xfId="0" applyNumberFormat="1" applyFont="1" applyFill="1" applyAlignment="1">
      <alignment/>
    </xf>
    <xf numFmtId="0" fontId="25" fillId="0" borderId="0" xfId="0" applyNumberFormat="1" applyFont="1" applyFill="1" applyAlignment="1">
      <alignment/>
    </xf>
    <xf numFmtId="49" fontId="101"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2"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145" applyNumberFormat="1" applyFont="1" applyFill="1" applyBorder="1" applyAlignment="1" applyProtection="1">
      <alignment horizontal="center" vertical="center"/>
      <protection/>
    </xf>
    <xf numFmtId="49" fontId="4" fillId="47" borderId="0" xfId="0" applyNumberFormat="1" applyFont="1" applyFill="1" applyAlignment="1">
      <alignment wrapText="1"/>
    </xf>
    <xf numFmtId="49" fontId="4" fillId="47" borderId="0" xfId="0" applyNumberFormat="1" applyFont="1" applyFill="1" applyAlignment="1">
      <alignment/>
    </xf>
    <xf numFmtId="49" fontId="7" fillId="47" borderId="0" xfId="0" applyNumberFormat="1" applyFont="1" applyFill="1" applyAlignment="1">
      <alignment/>
    </xf>
    <xf numFmtId="49" fontId="14" fillId="47" borderId="0" xfId="0" applyNumberFormat="1" applyFont="1" applyFill="1" applyBorder="1" applyAlignment="1">
      <alignment horizontal="center" wrapText="1"/>
    </xf>
    <xf numFmtId="49" fontId="3" fillId="47" borderId="0" xfId="0" applyNumberFormat="1" applyFont="1" applyFill="1" applyBorder="1" applyAlignment="1">
      <alignment/>
    </xf>
    <xf numFmtId="49" fontId="15" fillId="47" borderId="0" xfId="0" applyNumberFormat="1" applyFont="1" applyFill="1" applyBorder="1" applyAlignment="1">
      <alignment horizontal="center" wrapText="1"/>
    </xf>
    <xf numFmtId="49" fontId="15" fillId="47" borderId="19" xfId="0" applyNumberFormat="1" applyFont="1" applyFill="1" applyBorder="1" applyAlignment="1">
      <alignment wrapText="1"/>
    </xf>
    <xf numFmtId="49" fontId="115" fillId="47" borderId="20" xfId="0" applyNumberFormat="1" applyFont="1" applyFill="1" applyBorder="1" applyAlignment="1" applyProtection="1">
      <alignment horizontal="center" vertical="center"/>
      <protection/>
    </xf>
    <xf numFmtId="49" fontId="3" fillId="47" borderId="0" xfId="0" applyNumberFormat="1" applyFont="1" applyFill="1" applyAlignment="1">
      <alignment/>
    </xf>
    <xf numFmtId="49" fontId="0" fillId="47" borderId="0" xfId="0" applyNumberFormat="1" applyFont="1" applyFill="1" applyAlignment="1">
      <alignment horizontal="center"/>
    </xf>
    <xf numFmtId="0" fontId="14" fillId="47" borderId="0" xfId="0" applyNumberFormat="1" applyFont="1" applyFill="1" applyBorder="1" applyAlignment="1">
      <alignment horizontal="center" wrapText="1"/>
    </xf>
    <xf numFmtId="0" fontId="0" fillId="47" borderId="0" xfId="0" applyNumberFormat="1" applyFont="1" applyFill="1" applyAlignment="1">
      <alignment/>
    </xf>
    <xf numFmtId="0" fontId="4" fillId="47" borderId="0" xfId="0" applyNumberFormat="1" applyFont="1" applyFill="1" applyAlignment="1">
      <alignment wrapText="1"/>
    </xf>
    <xf numFmtId="194" fontId="31" fillId="0" borderId="0" xfId="0" applyNumberFormat="1" applyFont="1" applyFill="1" applyAlignment="1">
      <alignment/>
    </xf>
    <xf numFmtId="49" fontId="5" fillId="47" borderId="20" xfId="0" applyNumberFormat="1" applyFont="1" applyFill="1" applyBorder="1" applyAlignment="1" applyProtection="1">
      <alignment vertical="center"/>
      <protection/>
    </xf>
    <xf numFmtId="3" fontId="105" fillId="0" borderId="0" xfId="0" applyNumberFormat="1" applyFont="1" applyFill="1" applyAlignment="1">
      <alignment wrapText="1"/>
    </xf>
    <xf numFmtId="0" fontId="105" fillId="0" borderId="0" xfId="0" applyNumberFormat="1" applyFont="1" applyFill="1" applyAlignment="1">
      <alignment/>
    </xf>
    <xf numFmtId="3" fontId="105" fillId="0" borderId="0" xfId="0" applyNumberFormat="1" applyFont="1" applyFill="1" applyAlignment="1">
      <alignment/>
    </xf>
    <xf numFmtId="0" fontId="29" fillId="0" borderId="0" xfId="0" applyNumberFormat="1" applyFont="1" applyFill="1" applyAlignment="1">
      <alignment horizontal="center"/>
    </xf>
    <xf numFmtId="0" fontId="100" fillId="0" borderId="0" xfId="0" applyNumberFormat="1" applyFont="1" applyFill="1" applyAlignment="1">
      <alignment/>
    </xf>
    <xf numFmtId="0" fontId="116" fillId="0" borderId="0" xfId="0" applyNumberFormat="1" applyFont="1" applyFill="1" applyAlignment="1">
      <alignment horizontal="center"/>
    </xf>
    <xf numFmtId="3" fontId="28" fillId="0" borderId="0" xfId="0" applyNumberFormat="1" applyFont="1" applyFill="1" applyBorder="1" applyAlignment="1">
      <alignment horizontal="center" wrapText="1"/>
    </xf>
    <xf numFmtId="3" fontId="0" fillId="0" borderId="0" xfId="0" applyNumberFormat="1" applyFont="1" applyFill="1" applyAlignment="1">
      <alignment/>
    </xf>
    <xf numFmtId="0" fontId="3" fillId="47" borderId="0" xfId="0" applyNumberFormat="1" applyFont="1" applyFill="1" applyAlignment="1">
      <alignment horizontal="center"/>
    </xf>
    <xf numFmtId="0" fontId="23" fillId="47" borderId="0" xfId="0" applyNumberFormat="1" applyFont="1" applyFill="1" applyBorder="1" applyAlignment="1">
      <alignment horizontal="center" vertical="center"/>
    </xf>
    <xf numFmtId="0" fontId="14" fillId="47" borderId="0" xfId="0" applyNumberFormat="1" applyFont="1" applyFill="1" applyBorder="1" applyAlignment="1">
      <alignment horizontal="center" vertical="center"/>
    </xf>
    <xf numFmtId="49" fontId="14" fillId="47" borderId="0" xfId="0" applyNumberFormat="1" applyFont="1" applyFill="1" applyBorder="1" applyAlignment="1">
      <alignment horizontal="center" vertical="center"/>
    </xf>
    <xf numFmtId="0" fontId="0" fillId="47" borderId="0" xfId="0" applyNumberFormat="1" applyFont="1" applyFill="1" applyBorder="1" applyAlignment="1">
      <alignment wrapText="1"/>
    </xf>
    <xf numFmtId="0" fontId="0" fillId="47" borderId="0" xfId="0" applyNumberFormat="1" applyFont="1" applyFill="1" applyBorder="1" applyAlignment="1">
      <alignment/>
    </xf>
    <xf numFmtId="3" fontId="18" fillId="47" borderId="0" xfId="0" applyNumberFormat="1" applyFont="1" applyFill="1" applyBorder="1" applyAlignment="1">
      <alignment horizontal="center" vertical="center"/>
    </xf>
    <xf numFmtId="49" fontId="0" fillId="47" borderId="0" xfId="0" applyNumberFormat="1" applyFont="1" applyFill="1" applyBorder="1" applyAlignment="1">
      <alignment wrapText="1"/>
    </xf>
    <xf numFmtId="49" fontId="0" fillId="47" borderId="0" xfId="0" applyNumberFormat="1" applyFont="1" applyFill="1" applyBorder="1" applyAlignment="1">
      <alignment/>
    </xf>
    <xf numFmtId="49" fontId="106" fillId="0" borderId="20" xfId="0" applyNumberFormat="1" applyFont="1" applyFill="1" applyBorder="1" applyAlignment="1" applyProtection="1">
      <alignment horizontal="center" vertical="center" wrapText="1"/>
      <protection/>
    </xf>
    <xf numFmtId="49" fontId="106" fillId="0" borderId="20" xfId="0" applyNumberFormat="1" applyFont="1" applyFill="1" applyBorder="1" applyAlignment="1">
      <alignment horizontal="center" vertical="center" wrapText="1"/>
    </xf>
    <xf numFmtId="194" fontId="103" fillId="47" borderId="20" xfId="99" applyNumberFormat="1" applyFont="1" applyFill="1" applyBorder="1" applyAlignment="1" applyProtection="1">
      <alignment horizontal="right" vertical="center"/>
      <protection/>
    </xf>
    <xf numFmtId="194" fontId="104" fillId="47" borderId="20" xfId="99" applyNumberFormat="1" applyFont="1" applyFill="1" applyBorder="1" applyAlignment="1" applyProtection="1">
      <alignment horizontal="center" vertical="center"/>
      <protection/>
    </xf>
    <xf numFmtId="3" fontId="103" fillId="0" borderId="20" xfId="145" applyNumberFormat="1" applyFont="1" applyFill="1" applyBorder="1" applyAlignment="1" applyProtection="1">
      <alignment horizontal="center" vertical="center"/>
      <protection/>
    </xf>
    <xf numFmtId="41" fontId="103" fillId="47" borderId="20" xfId="0" applyNumberFormat="1" applyFont="1" applyFill="1" applyBorder="1" applyAlignment="1" applyProtection="1">
      <alignment horizontal="center" vertical="center"/>
      <protection/>
    </xf>
    <xf numFmtId="49" fontId="100" fillId="0" borderId="20" xfId="0" applyNumberFormat="1" applyFont="1" applyFill="1" applyBorder="1" applyAlignment="1" applyProtection="1">
      <alignment horizontal="center" vertical="center" wrapText="1"/>
      <protection/>
    </xf>
    <xf numFmtId="49" fontId="100" fillId="0" borderId="20" xfId="0" applyNumberFormat="1" applyFont="1" applyFill="1" applyBorder="1" applyAlignment="1">
      <alignment horizontal="center" vertical="center" wrapText="1"/>
    </xf>
    <xf numFmtId="10" fontId="100" fillId="0" borderId="20" xfId="158" applyNumberFormat="1" applyFont="1" applyFill="1" applyBorder="1" applyAlignment="1">
      <alignment/>
    </xf>
    <xf numFmtId="49" fontId="18" fillId="47" borderId="0" xfId="0" applyNumberFormat="1" applyFont="1" applyFill="1" applyBorder="1" applyAlignment="1">
      <alignment/>
    </xf>
    <xf numFmtId="210" fontId="106" fillId="47" borderId="20" xfId="0" applyNumberFormat="1" applyFont="1" applyFill="1" applyBorder="1" applyAlignment="1">
      <alignment horizontal="center" vertical="center"/>
    </xf>
    <xf numFmtId="194" fontId="106" fillId="47" borderId="20" xfId="0" applyNumberFormat="1" applyFont="1" applyFill="1" applyBorder="1" applyAlignment="1" applyProtection="1">
      <alignment horizontal="center" vertical="center"/>
      <protection/>
    </xf>
    <xf numFmtId="194" fontId="23" fillId="47" borderId="0" xfId="0" applyNumberFormat="1" applyFont="1" applyFill="1" applyBorder="1" applyAlignment="1">
      <alignment horizontal="center" vertical="center"/>
    </xf>
    <xf numFmtId="49" fontId="117" fillId="47" borderId="20" xfId="0" applyNumberFormat="1" applyFont="1" applyFill="1" applyBorder="1" applyAlignment="1" applyProtection="1">
      <alignment horizontal="center" vertical="center"/>
      <protection/>
    </xf>
    <xf numFmtId="49" fontId="106" fillId="47" borderId="20" xfId="0" applyNumberFormat="1" applyFont="1" applyFill="1" applyBorder="1" applyAlignment="1" applyProtection="1">
      <alignment horizontal="center" vertical="center"/>
      <protection/>
    </xf>
    <xf numFmtId="49" fontId="106" fillId="47" borderId="20" xfId="0" applyNumberFormat="1" applyFont="1" applyFill="1" applyBorder="1" applyAlignment="1" applyProtection="1">
      <alignment vertical="center"/>
      <protection/>
    </xf>
    <xf numFmtId="49" fontId="118" fillId="47" borderId="20" xfId="0" applyNumberFormat="1" applyFont="1" applyFill="1" applyBorder="1" applyAlignment="1" applyProtection="1">
      <alignment horizontal="center" vertical="center"/>
      <protection/>
    </xf>
    <xf numFmtId="49" fontId="118" fillId="47" borderId="20" xfId="0" applyNumberFormat="1" applyFont="1" applyFill="1" applyBorder="1" applyAlignment="1" applyProtection="1">
      <alignment vertical="center"/>
      <protection/>
    </xf>
    <xf numFmtId="49" fontId="106" fillId="47" borderId="0" xfId="0" applyNumberFormat="1" applyFont="1" applyFill="1" applyAlignment="1">
      <alignment/>
    </xf>
    <xf numFmtId="3" fontId="5" fillId="47" borderId="20" xfId="0" applyNumberFormat="1" applyFont="1" applyFill="1" applyBorder="1" applyAlignment="1">
      <alignment horizontal="center"/>
    </xf>
    <xf numFmtId="194" fontId="28" fillId="0" borderId="0" xfId="0" applyNumberFormat="1" applyFont="1" applyFill="1" applyBorder="1" applyAlignment="1">
      <alignment horizontal="center" wrapText="1"/>
    </xf>
    <xf numFmtId="3" fontId="103" fillId="0" borderId="0" xfId="0" applyNumberFormat="1" applyFont="1" applyFill="1" applyBorder="1" applyAlignment="1">
      <alignment horizontal="center" wrapText="1"/>
    </xf>
    <xf numFmtId="3" fontId="8" fillId="0" borderId="0" xfId="0" applyNumberFormat="1" applyFont="1" applyFill="1" applyAlignment="1">
      <alignment/>
    </xf>
    <xf numFmtId="194" fontId="8" fillId="0" borderId="0" xfId="0" applyNumberFormat="1" applyFont="1" applyFill="1" applyBorder="1" applyAlignment="1">
      <alignment horizontal="center" wrapText="1"/>
    </xf>
    <xf numFmtId="3" fontId="103" fillId="0" borderId="0" xfId="0" applyNumberFormat="1" applyFont="1" applyFill="1" applyAlignment="1">
      <alignment/>
    </xf>
    <xf numFmtId="3" fontId="4" fillId="0" borderId="0" xfId="0" applyNumberFormat="1" applyFont="1" applyFill="1" applyAlignment="1">
      <alignment/>
    </xf>
    <xf numFmtId="49" fontId="163" fillId="50" borderId="20" xfId="0" applyNumberFormat="1" applyFont="1" applyFill="1" applyBorder="1" applyAlignment="1" applyProtection="1">
      <alignment horizontal="center" vertical="center"/>
      <protection/>
    </xf>
    <xf numFmtId="49" fontId="163" fillId="50" borderId="20" xfId="0" applyNumberFormat="1" applyFont="1" applyFill="1" applyBorder="1" applyAlignment="1" applyProtection="1">
      <alignment vertical="center"/>
      <protection/>
    </xf>
    <xf numFmtId="194" fontId="163" fillId="50" borderId="20" xfId="0" applyNumberFormat="1" applyFont="1" applyFill="1" applyBorder="1" applyAlignment="1" applyProtection="1">
      <alignment horizontal="right" vertical="center"/>
      <protection/>
    </xf>
    <xf numFmtId="49" fontId="103" fillId="50" borderId="20" xfId="0" applyNumberFormat="1" applyFont="1" applyFill="1" applyBorder="1" applyAlignment="1" applyProtection="1">
      <alignment horizontal="center" vertical="center"/>
      <protection/>
    </xf>
    <xf numFmtId="194" fontId="103" fillId="50" borderId="20" xfId="0" applyNumberFormat="1" applyFont="1" applyFill="1" applyBorder="1" applyAlignment="1" applyProtection="1">
      <alignment horizontal="right" vertical="center"/>
      <protection/>
    </xf>
    <xf numFmtId="194" fontId="163" fillId="50" borderId="20" xfId="0" applyNumberFormat="1" applyFont="1" applyFill="1" applyBorder="1" applyAlignment="1">
      <alignment horizontal="right"/>
    </xf>
    <xf numFmtId="49" fontId="103" fillId="50" borderId="20" xfId="139" applyNumberFormat="1" applyFont="1" applyFill="1" applyBorder="1" applyAlignment="1" applyProtection="1">
      <alignment vertical="center"/>
      <protection/>
    </xf>
    <xf numFmtId="3" fontId="103" fillId="50" borderId="20" xfId="0" applyNumberFormat="1" applyFont="1" applyFill="1" applyBorder="1" applyAlignment="1" applyProtection="1">
      <alignment horizontal="center" vertical="center"/>
      <protection/>
    </xf>
    <xf numFmtId="0" fontId="103" fillId="50" borderId="20" xfId="139" applyFont="1" applyFill="1" applyBorder="1" applyAlignment="1">
      <alignment horizontal="left" vertical="center"/>
      <protection/>
    </xf>
    <xf numFmtId="3" fontId="164" fillId="50" borderId="20" xfId="0" applyNumberFormat="1" applyFont="1" applyFill="1" applyBorder="1" applyAlignment="1" applyProtection="1">
      <alignment horizontal="center" vertical="center"/>
      <protection/>
    </xf>
    <xf numFmtId="49" fontId="103" fillId="50" borderId="20" xfId="139" applyNumberFormat="1" applyFont="1" applyFill="1" applyBorder="1">
      <alignment/>
      <protection/>
    </xf>
    <xf numFmtId="41" fontId="103" fillId="50" borderId="20" xfId="99" applyNumberFormat="1" applyFont="1" applyFill="1" applyBorder="1" applyAlignment="1" applyProtection="1">
      <alignment horizontal="right" vertical="center"/>
      <protection/>
    </xf>
    <xf numFmtId="194" fontId="103" fillId="50" borderId="20" xfId="99" applyNumberFormat="1" applyFont="1" applyFill="1" applyBorder="1" applyAlignment="1" applyProtection="1">
      <alignment horizontal="center" vertical="center"/>
      <protection/>
    </xf>
    <xf numFmtId="43" fontId="103" fillId="50" borderId="20" xfId="99" applyFont="1" applyFill="1" applyBorder="1" applyAlignment="1" applyProtection="1">
      <alignment horizontal="right" vertical="center"/>
      <protection/>
    </xf>
    <xf numFmtId="49" fontId="103" fillId="50" borderId="20" xfId="0" applyNumberFormat="1" applyFont="1" applyFill="1" applyBorder="1" applyAlignment="1" applyProtection="1">
      <alignment horizontal="left" vertical="center"/>
      <protection/>
    </xf>
    <xf numFmtId="49" fontId="103" fillId="50" borderId="20" xfId="0" applyNumberFormat="1" applyFont="1" applyFill="1" applyBorder="1" applyAlignment="1" applyProtection="1">
      <alignment vertical="center"/>
      <protection/>
    </xf>
    <xf numFmtId="0" fontId="103" fillId="50" borderId="20" xfId="0" applyNumberFormat="1" applyFont="1" applyFill="1" applyBorder="1" applyAlignment="1" applyProtection="1">
      <alignment vertical="center"/>
      <protection/>
    </xf>
    <xf numFmtId="3" fontId="18" fillId="47" borderId="19" xfId="0" applyNumberFormat="1" applyFont="1" applyFill="1" applyBorder="1" applyAlignment="1">
      <alignment vertical="center"/>
    </xf>
    <xf numFmtId="49" fontId="111" fillId="0" borderId="20" xfId="0" applyNumberFormat="1" applyFont="1" applyFill="1" applyBorder="1" applyAlignment="1" applyProtection="1">
      <alignment horizontal="center" vertical="center"/>
      <protection/>
    </xf>
    <xf numFmtId="194" fontId="29" fillId="47" borderId="20" xfId="0" applyNumberFormat="1" applyFont="1" applyFill="1" applyBorder="1" applyAlignment="1" applyProtection="1">
      <alignment horizontal="right" vertical="center"/>
      <protection/>
    </xf>
    <xf numFmtId="210" fontId="29" fillId="47" borderId="20" xfId="0" applyNumberFormat="1" applyFont="1" applyFill="1" applyBorder="1" applyAlignment="1">
      <alignment horizontal="right" vertical="center"/>
    </xf>
    <xf numFmtId="194" fontId="165" fillId="50" borderId="20" xfId="0" applyNumberFormat="1" applyFont="1" applyFill="1" applyBorder="1" applyAlignment="1" applyProtection="1">
      <alignment horizontal="right" vertical="center"/>
      <protection/>
    </xf>
    <xf numFmtId="210" fontId="165" fillId="50" borderId="20" xfId="0" applyNumberFormat="1" applyFont="1" applyFill="1" applyBorder="1" applyAlignment="1">
      <alignment horizontal="right" vertical="center"/>
    </xf>
    <xf numFmtId="194" fontId="5" fillId="50" borderId="20" xfId="0" applyNumberFormat="1" applyFont="1" applyFill="1" applyBorder="1" applyAlignment="1" applyProtection="1">
      <alignment horizontal="right" vertical="center"/>
      <protection/>
    </xf>
    <xf numFmtId="194" fontId="165" fillId="50" borderId="20" xfId="0" applyNumberFormat="1" applyFont="1" applyFill="1" applyBorder="1" applyAlignment="1">
      <alignment horizontal="right" vertical="center"/>
    </xf>
    <xf numFmtId="210" fontId="5" fillId="50" borderId="20" xfId="0" applyNumberFormat="1" applyFont="1" applyFill="1" applyBorder="1" applyAlignment="1">
      <alignment horizontal="right" vertical="center"/>
    </xf>
    <xf numFmtId="194" fontId="165" fillId="47" borderId="20" xfId="0" applyNumberFormat="1" applyFont="1" applyFill="1" applyBorder="1" applyAlignment="1" applyProtection="1">
      <alignment horizontal="right" vertical="center"/>
      <protection/>
    </xf>
    <xf numFmtId="194" fontId="166" fillId="47" borderId="20" xfId="0" applyNumberFormat="1" applyFont="1" applyFill="1" applyBorder="1" applyAlignment="1" applyProtection="1">
      <alignment horizontal="right" vertical="center"/>
      <protection/>
    </xf>
    <xf numFmtId="194" fontId="5" fillId="50" borderId="20" xfId="137" applyNumberFormat="1" applyFont="1" applyFill="1" applyBorder="1" applyAlignment="1" applyProtection="1">
      <alignment horizontal="right" vertical="center"/>
      <protection/>
    </xf>
    <xf numFmtId="194" fontId="5" fillId="0" borderId="20" xfId="0" applyNumberFormat="1" applyFont="1" applyFill="1" applyBorder="1" applyAlignment="1" applyProtection="1">
      <alignment horizontal="right" vertical="center"/>
      <protection/>
    </xf>
    <xf numFmtId="1" fontId="5" fillId="47" borderId="20" xfId="0" applyNumberFormat="1" applyFont="1" applyFill="1" applyBorder="1" applyAlignment="1" applyProtection="1">
      <alignment horizontal="center" vertical="center"/>
      <protection/>
    </xf>
    <xf numFmtId="1" fontId="5" fillId="47" borderId="20" xfId="0" applyNumberFormat="1" applyFont="1" applyFill="1" applyBorder="1" applyAlignment="1" applyProtection="1">
      <alignment horizontal="right" vertical="center"/>
      <protection/>
    </xf>
    <xf numFmtId="194" fontId="5" fillId="0" borderId="20" xfId="99" applyNumberFormat="1" applyFont="1" applyBorder="1" applyAlignment="1" applyProtection="1">
      <alignment/>
      <protection locked="0"/>
    </xf>
    <xf numFmtId="194" fontId="5" fillId="50" borderId="20" xfId="0" applyNumberFormat="1" applyFont="1" applyFill="1" applyBorder="1" applyAlignment="1">
      <alignment horizontal="right" vertical="center"/>
    </xf>
    <xf numFmtId="3" fontId="5" fillId="47" borderId="20" xfId="0" applyNumberFormat="1" applyFont="1" applyFill="1" applyBorder="1" applyAlignment="1" applyProtection="1">
      <alignment horizontal="center" vertical="center"/>
      <protection/>
    </xf>
    <xf numFmtId="1" fontId="5" fillId="47" borderId="20" xfId="158" applyNumberFormat="1" applyFont="1" applyFill="1" applyBorder="1" applyAlignment="1" applyProtection="1">
      <alignment horizontal="center" vertical="center"/>
      <protection/>
    </xf>
    <xf numFmtId="1" fontId="5" fillId="47" borderId="20" xfId="0" applyNumberFormat="1" applyFont="1" applyFill="1" applyBorder="1" applyAlignment="1">
      <alignment horizontal="center" vertical="center"/>
    </xf>
    <xf numFmtId="3" fontId="5" fillId="47" borderId="20" xfId="158" applyNumberFormat="1" applyFont="1" applyFill="1" applyBorder="1" applyAlignment="1" applyProtection="1">
      <alignment horizontal="center" vertical="center"/>
      <protection/>
    </xf>
    <xf numFmtId="41" fontId="5" fillId="47" borderId="20" xfId="0" applyNumberFormat="1" applyFont="1" applyFill="1" applyBorder="1" applyAlignment="1" applyProtection="1">
      <alignment horizontal="center" vertical="center"/>
      <protection locked="0"/>
    </xf>
    <xf numFmtId="41" fontId="5" fillId="50" borderId="20" xfId="0" applyNumberFormat="1" applyFont="1" applyFill="1" applyBorder="1" applyAlignment="1" applyProtection="1">
      <alignment horizontal="center" vertical="center"/>
      <protection locked="0"/>
    </xf>
    <xf numFmtId="1" fontId="29" fillId="47" borderId="20" xfId="0" applyNumberFormat="1" applyFont="1" applyFill="1" applyBorder="1" applyAlignment="1" applyProtection="1">
      <alignment horizontal="center" vertical="center"/>
      <protection/>
    </xf>
    <xf numFmtId="49" fontId="109" fillId="0" borderId="21" xfId="0"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194" fontId="114" fillId="0" borderId="0" xfId="0" applyNumberFormat="1" applyFont="1" applyFill="1" applyBorder="1" applyAlignment="1">
      <alignment/>
    </xf>
    <xf numFmtId="3" fontId="0" fillId="0" borderId="0" xfId="0" applyNumberFormat="1" applyFont="1" applyFill="1" applyBorder="1" applyAlignment="1">
      <alignment/>
    </xf>
    <xf numFmtId="49" fontId="109" fillId="0" borderId="20" xfId="0" applyNumberFormat="1" applyFont="1" applyFill="1" applyBorder="1" applyAlignment="1" applyProtection="1">
      <alignment horizontal="center" vertical="center"/>
      <protection/>
    </xf>
    <xf numFmtId="194" fontId="5" fillId="47" borderId="20" xfId="0" applyNumberFormat="1" applyFont="1" applyFill="1" applyBorder="1" applyAlignment="1" applyProtection="1">
      <alignment horizontal="center" vertical="center" wrapText="1"/>
      <protection/>
    </xf>
    <xf numFmtId="194" fontId="104" fillId="47" borderId="20" xfId="0" applyNumberFormat="1" applyFont="1" applyFill="1" applyBorder="1" applyAlignment="1" applyProtection="1">
      <alignment horizontal="right" vertical="center"/>
      <protection/>
    </xf>
    <xf numFmtId="210" fontId="167" fillId="47" borderId="20" xfId="0" applyNumberFormat="1" applyFont="1" applyFill="1" applyBorder="1" applyAlignment="1">
      <alignment vertical="center"/>
    </xf>
    <xf numFmtId="37" fontId="107" fillId="47" borderId="20" xfId="0" applyNumberFormat="1" applyFont="1" applyFill="1" applyBorder="1" applyAlignment="1" applyProtection="1">
      <alignment horizontal="center" vertical="center"/>
      <protection/>
    </xf>
    <xf numFmtId="49" fontId="120" fillId="47" borderId="20" xfId="0" applyNumberFormat="1" applyFont="1" applyFill="1" applyBorder="1" applyAlignment="1" applyProtection="1">
      <alignment horizontal="center" vertical="center"/>
      <protection/>
    </xf>
    <xf numFmtId="49" fontId="120" fillId="47" borderId="20" xfId="0" applyNumberFormat="1" applyFont="1" applyFill="1" applyBorder="1" applyAlignment="1" applyProtection="1">
      <alignment vertical="center"/>
      <protection/>
    </xf>
    <xf numFmtId="49" fontId="121" fillId="47" borderId="20" xfId="0" applyNumberFormat="1" applyFont="1" applyFill="1" applyBorder="1" applyAlignment="1" applyProtection="1">
      <alignment horizontal="center" vertical="center"/>
      <protection/>
    </xf>
    <xf numFmtId="49" fontId="121" fillId="47" borderId="20" xfId="0" applyNumberFormat="1" applyFont="1" applyFill="1" applyBorder="1" applyAlignment="1" applyProtection="1">
      <alignment vertical="center"/>
      <protection/>
    </xf>
    <xf numFmtId="49" fontId="121" fillId="47" borderId="20" xfId="0" applyNumberFormat="1" applyFont="1" applyFill="1" applyBorder="1" applyAlignment="1">
      <alignment/>
    </xf>
    <xf numFmtId="194" fontId="103" fillId="47" borderId="20" xfId="0" applyNumberFormat="1" applyFont="1" applyFill="1" applyBorder="1" applyAlignment="1" applyProtection="1">
      <alignment horizontal="center" vertical="center"/>
      <protection/>
    </xf>
    <xf numFmtId="210" fontId="104" fillId="47" borderId="20" xfId="0" applyNumberFormat="1" applyFont="1" applyFill="1" applyBorder="1" applyAlignment="1">
      <alignment horizontal="right" vertical="center"/>
    </xf>
    <xf numFmtId="210" fontId="163" fillId="50" borderId="20" xfId="0" applyNumberFormat="1" applyFont="1" applyFill="1" applyBorder="1" applyAlignment="1">
      <alignment horizontal="right" vertical="center"/>
    </xf>
    <xf numFmtId="210" fontId="103" fillId="50" borderId="20" xfId="0" applyNumberFormat="1" applyFont="1" applyFill="1" applyBorder="1" applyAlignment="1">
      <alignment horizontal="right" vertical="center"/>
    </xf>
    <xf numFmtId="49" fontId="103" fillId="50" borderId="20" xfId="0" applyNumberFormat="1" applyFont="1" applyFill="1" applyBorder="1" applyAlignment="1">
      <alignment vertical="center"/>
    </xf>
    <xf numFmtId="194" fontId="163" fillId="50" borderId="20" xfId="0" applyNumberFormat="1" applyFont="1" applyFill="1" applyBorder="1" applyAlignment="1">
      <alignment horizontal="right" vertical="center"/>
    </xf>
    <xf numFmtId="194" fontId="122" fillId="47" borderId="20" xfId="99" applyNumberFormat="1" applyFont="1" applyFill="1" applyBorder="1" applyAlignment="1">
      <alignment horizontal="center"/>
    </xf>
    <xf numFmtId="41" fontId="103" fillId="47" borderId="20" xfId="0" applyNumberFormat="1" applyFont="1" applyFill="1" applyBorder="1" applyAlignment="1" applyProtection="1">
      <alignment horizontal="center" vertical="center"/>
      <protection locked="0"/>
    </xf>
    <xf numFmtId="49" fontId="168" fillId="50" borderId="20" xfId="0" applyNumberFormat="1" applyFont="1" applyFill="1" applyBorder="1" applyAlignment="1" applyProtection="1">
      <alignment horizontal="center" vertical="center"/>
      <protection/>
    </xf>
    <xf numFmtId="49" fontId="168" fillId="50" borderId="20" xfId="0" applyNumberFormat="1" applyFont="1" applyFill="1" applyBorder="1" applyAlignment="1" applyProtection="1">
      <alignment vertical="center"/>
      <protection/>
    </xf>
    <xf numFmtId="49" fontId="5" fillId="50" borderId="20" xfId="0" applyNumberFormat="1" applyFont="1" applyFill="1" applyBorder="1" applyAlignment="1" applyProtection="1">
      <alignment horizontal="center" vertical="center"/>
      <protection/>
    </xf>
    <xf numFmtId="49" fontId="5" fillId="50" borderId="20" xfId="0" applyNumberFormat="1" applyFont="1" applyFill="1" applyBorder="1" applyAlignment="1" applyProtection="1">
      <alignment vertical="center"/>
      <protection/>
    </xf>
    <xf numFmtId="49" fontId="5" fillId="50" borderId="20" xfId="137" applyNumberFormat="1" applyFont="1" applyFill="1" applyBorder="1" applyAlignment="1" applyProtection="1">
      <alignment vertical="center"/>
      <protection/>
    </xf>
    <xf numFmtId="0" fontId="5" fillId="50" borderId="20" xfId="137" applyFont="1" applyFill="1" applyBorder="1" applyAlignment="1">
      <alignment vertical="center"/>
      <protection/>
    </xf>
    <xf numFmtId="49" fontId="5" fillId="50" borderId="20" xfId="137" applyNumberFormat="1" applyFont="1" applyFill="1" applyBorder="1" applyAlignment="1">
      <alignment vertical="center"/>
      <protection/>
    </xf>
    <xf numFmtId="0" fontId="5" fillId="50" borderId="20" xfId="0" applyNumberFormat="1" applyFont="1" applyFill="1" applyBorder="1" applyAlignment="1" applyProtection="1">
      <alignment vertical="center"/>
      <protection/>
    </xf>
    <xf numFmtId="194" fontId="105" fillId="47" borderId="20" xfId="0" applyNumberFormat="1" applyFont="1" applyFill="1" applyBorder="1" applyAlignment="1" applyProtection="1">
      <alignment horizontal="center" vertical="center"/>
      <protection/>
    </xf>
    <xf numFmtId="210" fontId="105" fillId="47" borderId="20" xfId="0" applyNumberFormat="1" applyFont="1" applyFill="1" applyBorder="1" applyAlignment="1">
      <alignment horizontal="center" vertical="center"/>
    </xf>
    <xf numFmtId="194" fontId="105" fillId="0" borderId="20" xfId="0" applyNumberFormat="1" applyFont="1" applyBorder="1" applyAlignment="1">
      <alignment horizontal="center" vertical="center"/>
    </xf>
    <xf numFmtId="210" fontId="169" fillId="47" borderId="20" xfId="0" applyNumberFormat="1" applyFont="1" applyFill="1" applyBorder="1" applyAlignment="1">
      <alignment vertical="center"/>
    </xf>
    <xf numFmtId="194" fontId="100" fillId="47" borderId="20" xfId="0" applyNumberFormat="1" applyFont="1" applyFill="1" applyBorder="1" applyAlignment="1" applyProtection="1">
      <alignment horizontal="center" vertical="center"/>
      <protection/>
    </xf>
    <xf numFmtId="210" fontId="100" fillId="47" borderId="20" xfId="0" applyNumberFormat="1" applyFont="1" applyFill="1" applyBorder="1" applyAlignment="1">
      <alignment horizontal="center" vertical="center"/>
    </xf>
    <xf numFmtId="10" fontId="106" fillId="0" borderId="20" xfId="158" applyNumberFormat="1" applyFont="1" applyFill="1" applyBorder="1" applyAlignment="1">
      <alignment/>
    </xf>
    <xf numFmtId="41" fontId="5" fillId="47" borderId="20" xfId="0" applyNumberFormat="1" applyFont="1" applyFill="1" applyBorder="1" applyAlignment="1" applyProtection="1">
      <alignment horizontal="center" vertical="center"/>
      <protection/>
    </xf>
    <xf numFmtId="49" fontId="5" fillId="47" borderId="26" xfId="0" applyNumberFormat="1" applyFont="1" applyFill="1" applyBorder="1" applyAlignment="1" applyProtection="1">
      <alignment vertical="center"/>
      <protection/>
    </xf>
    <xf numFmtId="194" fontId="166" fillId="50" borderId="20" xfId="0" applyNumberFormat="1" applyFont="1" applyFill="1" applyBorder="1" applyAlignment="1" applyProtection="1">
      <alignment horizontal="right" vertical="center"/>
      <protection/>
    </xf>
    <xf numFmtId="1" fontId="5" fillId="50" borderId="20" xfId="0" applyNumberFormat="1" applyFont="1" applyFill="1" applyBorder="1" applyAlignment="1" applyProtection="1">
      <alignment horizontal="center" vertical="center"/>
      <protection/>
    </xf>
    <xf numFmtId="49" fontId="165" fillId="50" borderId="20" xfId="0" applyNumberFormat="1" applyFont="1" applyFill="1" applyBorder="1" applyAlignment="1" applyProtection="1">
      <alignment vertical="center"/>
      <protection/>
    </xf>
    <xf numFmtId="194" fontId="170" fillId="50" borderId="20" xfId="0" applyNumberFormat="1" applyFont="1" applyFill="1" applyBorder="1" applyAlignment="1" applyProtection="1">
      <alignment horizontal="right" vertical="center"/>
      <protection/>
    </xf>
    <xf numFmtId="49" fontId="165" fillId="50" borderId="20" xfId="0" applyNumberFormat="1" applyFont="1" applyFill="1" applyBorder="1" applyAlignment="1">
      <alignment/>
    </xf>
    <xf numFmtId="194" fontId="171" fillId="50" borderId="20" xfId="0" applyNumberFormat="1" applyFont="1" applyFill="1" applyBorder="1" applyAlignment="1" applyProtection="1">
      <alignment horizontal="right" vertical="center"/>
      <protection/>
    </xf>
    <xf numFmtId="49" fontId="171" fillId="50" borderId="20" xfId="0" applyNumberFormat="1" applyFont="1" applyFill="1" applyBorder="1" applyAlignment="1" applyProtection="1">
      <alignment horizontal="center" vertical="center"/>
      <protection/>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0" fontId="25" fillId="0" borderId="0" xfId="146" applyFont="1" applyAlignment="1">
      <alignment horizontal="center"/>
      <protection/>
    </xf>
    <xf numFmtId="49" fontId="25" fillId="47" borderId="0" xfId="146" applyNumberFormat="1" applyFont="1" applyFill="1" applyAlignment="1">
      <alignment horizontal="center"/>
      <protection/>
    </xf>
    <xf numFmtId="49" fontId="25" fillId="0" borderId="0" xfId="146" applyNumberFormat="1" applyFont="1" applyBorder="1" applyAlignment="1">
      <alignment horizontal="center" wrapText="1"/>
      <protection/>
    </xf>
    <xf numFmtId="49" fontId="7" fillId="0" borderId="26" xfId="146" applyNumberFormat="1" applyFont="1" applyFill="1" applyBorder="1" applyAlignment="1">
      <alignment horizontal="center" vertical="center" wrapText="1"/>
      <protection/>
    </xf>
    <xf numFmtId="49" fontId="7" fillId="0" borderId="25" xfId="146" applyNumberFormat="1" applyFont="1" applyFill="1" applyBorder="1" applyAlignment="1">
      <alignment horizontal="center" vertical="center" wrapText="1"/>
      <protection/>
    </xf>
    <xf numFmtId="49" fontId="27" fillId="0" borderId="25" xfId="146" applyNumberFormat="1" applyFont="1" applyFill="1" applyBorder="1" applyAlignment="1">
      <alignment horizontal="center" vertical="center" wrapText="1"/>
      <protection/>
    </xf>
    <xf numFmtId="0" fontId="7" fillId="0" borderId="35" xfId="146" applyNumberFormat="1" applyFont="1" applyBorder="1" applyAlignment="1">
      <alignment horizontal="center" vertical="center" wrapText="1"/>
      <protection/>
    </xf>
    <xf numFmtId="0" fontId="7" fillId="0" borderId="36" xfId="146" applyNumberFormat="1" applyFont="1" applyBorder="1" applyAlignment="1">
      <alignment horizontal="center" vertical="center" wrapText="1"/>
      <protection/>
    </xf>
    <xf numFmtId="0" fontId="7" fillId="0" borderId="24" xfId="146" applyNumberFormat="1" applyFont="1" applyBorder="1" applyAlignment="1">
      <alignment horizontal="center" vertical="center" wrapText="1"/>
      <protection/>
    </xf>
    <xf numFmtId="0" fontId="7" fillId="0" borderId="39" xfId="146" applyNumberFormat="1" applyFont="1" applyBorder="1" applyAlignment="1">
      <alignment horizontal="center" vertical="center" wrapText="1"/>
      <protection/>
    </xf>
    <xf numFmtId="49" fontId="7" fillId="44" borderId="26" xfId="146" applyNumberFormat="1" applyFont="1" applyFill="1" applyBorder="1" applyAlignment="1">
      <alignment horizontal="center" vertical="center"/>
      <protection/>
    </xf>
    <xf numFmtId="49" fontId="7" fillId="44" borderId="25" xfId="146" applyNumberFormat="1" applyFont="1" applyFill="1" applyBorder="1" applyAlignment="1">
      <alignment horizontal="center" vertical="center"/>
      <protection/>
    </xf>
    <xf numFmtId="0" fontId="55" fillId="3" borderId="26" xfId="146" applyNumberFormat="1" applyFont="1" applyFill="1" applyBorder="1" applyAlignment="1">
      <alignment horizontal="center" vertical="center" wrapText="1"/>
      <protection/>
    </xf>
    <xf numFmtId="0" fontId="55" fillId="3" borderId="25" xfId="146" applyNumberFormat="1" applyFont="1" applyFill="1" applyBorder="1" applyAlignment="1">
      <alignment horizontal="center" vertical="center" wrapText="1"/>
      <protection/>
    </xf>
    <xf numFmtId="49" fontId="3" fillId="0" borderId="0" xfId="146" applyNumberFormat="1" applyFont="1" applyBorder="1" applyAlignment="1">
      <alignment horizontal="left" wrapText="1"/>
      <protection/>
    </xf>
    <xf numFmtId="49" fontId="0" fillId="0" borderId="0" xfId="146" applyNumberFormat="1" applyFont="1" applyBorder="1" applyAlignment="1">
      <alignment horizontal="left" wrapText="1"/>
      <protection/>
    </xf>
    <xf numFmtId="49" fontId="7" fillId="0" borderId="26" xfId="146" applyNumberFormat="1" applyFont="1" applyBorder="1" applyAlignment="1">
      <alignment horizontal="center" vertical="center" wrapText="1"/>
      <protection/>
    </xf>
    <xf numFmtId="49" fontId="7" fillId="0" borderId="40" xfId="146" applyNumberFormat="1" applyFont="1" applyBorder="1" applyAlignment="1">
      <alignment horizontal="center" vertical="center" wrapText="1"/>
      <protection/>
    </xf>
    <xf numFmtId="49" fontId="7" fillId="0" borderId="25" xfId="146" applyNumberFormat="1" applyFont="1" applyBorder="1" applyAlignment="1">
      <alignment horizontal="center" vertical="center" wrapText="1"/>
      <protection/>
    </xf>
    <xf numFmtId="49" fontId="18" fillId="0" borderId="22" xfId="146" applyNumberFormat="1" applyFont="1" applyFill="1" applyBorder="1" applyAlignment="1">
      <alignment horizontal="center" vertical="center"/>
      <protection/>
    </xf>
    <xf numFmtId="49" fontId="7" fillId="0" borderId="20" xfId="146" applyNumberFormat="1" applyFont="1" applyFill="1" applyBorder="1" applyAlignment="1">
      <alignment horizontal="center" vertical="center" wrapText="1"/>
      <protection/>
    </xf>
    <xf numFmtId="49" fontId="18" fillId="0" borderId="0" xfId="146" applyNumberFormat="1" applyFont="1" applyAlignment="1">
      <alignment horizontal="left"/>
      <protection/>
    </xf>
    <xf numFmtId="49" fontId="14" fillId="47" borderId="0" xfId="146" applyNumberFormat="1" applyFont="1" applyFill="1" applyAlignment="1">
      <alignment horizontal="center" vertical="center" wrapText="1"/>
      <protection/>
    </xf>
    <xf numFmtId="49" fontId="3" fillId="0" borderId="0" xfId="146" applyNumberFormat="1" applyFont="1" applyAlignment="1">
      <alignment horizontal="left"/>
      <protection/>
    </xf>
    <xf numFmtId="49" fontId="0" fillId="0" borderId="0" xfId="146" applyNumberFormat="1" applyFont="1" applyAlignment="1">
      <alignment horizontal="left"/>
      <protection/>
    </xf>
    <xf numFmtId="49" fontId="32" fillId="0" borderId="0" xfId="146" applyNumberFormat="1" applyFont="1" applyAlignment="1">
      <alignment horizontal="center"/>
      <protection/>
    </xf>
    <xf numFmtId="49" fontId="28" fillId="0" borderId="0" xfId="146" applyNumberFormat="1" applyFont="1" applyAlignment="1">
      <alignment horizontal="center" wrapText="1"/>
      <protection/>
    </xf>
    <xf numFmtId="49" fontId="25" fillId="0" borderId="0" xfId="146" applyNumberFormat="1" applyFont="1" applyAlignment="1">
      <alignment horizontal="center"/>
      <protection/>
    </xf>
    <xf numFmtId="0" fontId="16" fillId="0" borderId="20" xfId="146" applyNumberFormat="1" applyFont="1" applyBorder="1" applyAlignment="1">
      <alignment horizontal="center" vertical="center" wrapText="1"/>
      <protection/>
    </xf>
    <xf numFmtId="49" fontId="30" fillId="0" borderId="0" xfId="146" applyNumberFormat="1" applyFont="1" applyBorder="1" applyAlignment="1">
      <alignment horizontal="center" wrapText="1"/>
      <protection/>
    </xf>
    <xf numFmtId="0" fontId="54" fillId="3" borderId="26" xfId="146" applyNumberFormat="1" applyFont="1" applyFill="1" applyBorder="1" applyAlignment="1">
      <alignment horizontal="center" vertical="center" wrapText="1"/>
      <protection/>
    </xf>
    <xf numFmtId="0" fontId="54" fillId="3" borderId="25" xfId="146" applyNumberFormat="1" applyFont="1" applyFill="1" applyBorder="1" applyAlignment="1">
      <alignment horizontal="center" vertical="center" wrapText="1"/>
      <protection/>
    </xf>
    <xf numFmtId="49" fontId="0" fillId="3" borderId="35" xfId="146" applyNumberFormat="1" applyFont="1" applyFill="1" applyBorder="1" applyAlignment="1">
      <alignment horizontal="center"/>
      <protection/>
    </xf>
    <xf numFmtId="49" fontId="0" fillId="3" borderId="19" xfId="146" applyNumberFormat="1" applyFont="1" applyFill="1" applyBorder="1" applyAlignment="1">
      <alignment horizontal="center"/>
      <protection/>
    </xf>
    <xf numFmtId="49" fontId="0" fillId="3" borderId="36" xfId="146" applyNumberFormat="1" applyFont="1" applyFill="1" applyBorder="1" applyAlignment="1">
      <alignment horizontal="center"/>
      <protection/>
    </xf>
    <xf numFmtId="3" fontId="33" fillId="47" borderId="38" xfId="146" applyNumberFormat="1" applyFont="1" applyFill="1" applyBorder="1" applyAlignment="1" applyProtection="1">
      <alignment horizontal="center" vertical="center" wrapText="1"/>
      <protection/>
    </xf>
    <xf numFmtId="3" fontId="33" fillId="47" borderId="23" xfId="146" applyNumberFormat="1" applyFont="1" applyFill="1" applyBorder="1" applyAlignment="1" applyProtection="1">
      <alignment horizontal="center" vertical="center" wrapText="1"/>
      <protection/>
    </xf>
    <xf numFmtId="49" fontId="7" fillId="0" borderId="20" xfId="146" applyNumberFormat="1" applyFont="1" applyFill="1" applyBorder="1" applyAlignment="1" applyProtection="1">
      <alignment horizontal="center" vertical="center" wrapText="1"/>
      <protection/>
    </xf>
    <xf numFmtId="3" fontId="7" fillId="47" borderId="21" xfId="146" applyNumberFormat="1" applyFont="1" applyFill="1" applyBorder="1" applyAlignment="1" applyProtection="1">
      <alignment horizontal="center" vertical="center" wrapText="1"/>
      <protection/>
    </xf>
    <xf numFmtId="3" fontId="7" fillId="47" borderId="23" xfId="146" applyNumberFormat="1" applyFont="1" applyFill="1" applyBorder="1" applyAlignment="1" applyProtection="1">
      <alignment horizontal="center" vertical="center" wrapText="1"/>
      <protection/>
    </xf>
    <xf numFmtId="49" fontId="64" fillId="0" borderId="0" xfId="146" applyNumberFormat="1" applyFont="1" applyBorder="1" applyAlignment="1">
      <alignment horizontal="center" wrapText="1"/>
      <protection/>
    </xf>
    <xf numFmtId="49" fontId="39" fillId="0" borderId="0" xfId="146" applyNumberFormat="1" applyFont="1" applyBorder="1" applyAlignment="1">
      <alignment horizontal="center" wrapText="1"/>
      <protection/>
    </xf>
    <xf numFmtId="49" fontId="15" fillId="0" borderId="0" xfId="146" applyNumberFormat="1" applyFont="1" applyFill="1" applyBorder="1" applyAlignment="1">
      <alignment horizontal="center" vertical="center" wrapText="1"/>
      <protection/>
    </xf>
    <xf numFmtId="49" fontId="13" fillId="0" borderId="0" xfId="146" applyNumberFormat="1" applyFont="1" applyFill="1" applyAlignment="1">
      <alignment horizontal="left" wrapText="1"/>
      <protection/>
    </xf>
    <xf numFmtId="49" fontId="13" fillId="0" borderId="0" xfId="146" applyNumberFormat="1" applyFont="1" applyFill="1" applyAlignment="1">
      <alignment horizontal="center" wrapText="1"/>
      <protection/>
    </xf>
    <xf numFmtId="0" fontId="3" fillId="0" borderId="0" xfId="146" applyFont="1" applyAlignment="1">
      <alignment horizontal="center"/>
      <protection/>
    </xf>
    <xf numFmtId="49" fontId="3" fillId="47" borderId="0" xfId="146" applyNumberFormat="1" applyFont="1" applyFill="1" applyAlignment="1">
      <alignment horizontal="center"/>
      <protection/>
    </xf>
    <xf numFmtId="49" fontId="23" fillId="0" borderId="0" xfId="146" applyNumberFormat="1" applyFont="1" applyFill="1" applyBorder="1" applyAlignment="1">
      <alignment horizontal="center" wrapText="1"/>
      <protection/>
    </xf>
    <xf numFmtId="49" fontId="15" fillId="0" borderId="0" xfId="146" applyNumberFormat="1" applyFont="1" applyFill="1" applyBorder="1" applyAlignment="1">
      <alignment horizontal="center" wrapText="1"/>
      <protection/>
    </xf>
    <xf numFmtId="49" fontId="70" fillId="0" borderId="0" xfId="146" applyNumberFormat="1" applyFont="1" applyFill="1" applyAlignment="1">
      <alignment horizontal="center"/>
      <protection/>
    </xf>
    <xf numFmtId="49" fontId="18" fillId="0" borderId="0" xfId="146" applyNumberFormat="1" applyFont="1" applyFill="1" applyAlignment="1">
      <alignment horizontal="center"/>
      <protection/>
    </xf>
    <xf numFmtId="49" fontId="0" fillId="0" borderId="0" xfId="146" applyNumberFormat="1" applyFont="1" applyFill="1" applyBorder="1" applyAlignment="1">
      <alignment horizontal="left"/>
      <protection/>
    </xf>
    <xf numFmtId="49" fontId="3" fillId="0" borderId="0" xfId="146" applyNumberFormat="1" applyFont="1" applyFill="1" applyBorder="1" applyAlignment="1">
      <alignment horizontal="left"/>
      <protection/>
    </xf>
    <xf numFmtId="49" fontId="3" fillId="0" borderId="0" xfId="146" applyNumberFormat="1" applyFont="1" applyFill="1" applyBorder="1" applyAlignment="1">
      <alignment horizontal="left" wrapText="1"/>
      <protection/>
    </xf>
    <xf numFmtId="49" fontId="0" fillId="0" borderId="0" xfId="146" applyNumberFormat="1" applyFont="1" applyFill="1" applyBorder="1" applyAlignment="1">
      <alignment horizontal="left" wrapText="1"/>
      <protection/>
    </xf>
    <xf numFmtId="49" fontId="6" fillId="0" borderId="20" xfId="146" applyNumberFormat="1" applyFont="1" applyFill="1" applyBorder="1" applyAlignment="1">
      <alignment horizontal="center" vertical="center" wrapText="1"/>
      <protection/>
    </xf>
    <xf numFmtId="49" fontId="6" fillId="0" borderId="22" xfId="146" applyNumberFormat="1" applyFont="1" applyFill="1" applyBorder="1" applyAlignment="1">
      <alignment horizontal="center" vertical="center" wrapText="1"/>
      <protection/>
    </xf>
    <xf numFmtId="49" fontId="6" fillId="0" borderId="40" xfId="146" applyNumberFormat="1" applyFont="1" applyFill="1" applyBorder="1" applyAlignment="1">
      <alignment horizontal="center" vertical="center" wrapText="1"/>
      <protection/>
    </xf>
    <xf numFmtId="49" fontId="6" fillId="0" borderId="25" xfId="146" applyNumberFormat="1" applyFont="1" applyFill="1" applyBorder="1" applyAlignment="1">
      <alignment horizontal="center" vertical="center" wrapText="1"/>
      <protection/>
    </xf>
    <xf numFmtId="49" fontId="3" fillId="0" borderId="20" xfId="146" applyNumberFormat="1" applyFont="1" applyFill="1" applyBorder="1" applyAlignment="1">
      <alignment horizontal="center"/>
      <protection/>
    </xf>
    <xf numFmtId="49" fontId="66" fillId="3" borderId="26" xfId="146" applyNumberFormat="1" applyFont="1" applyFill="1" applyBorder="1" applyAlignment="1">
      <alignment horizontal="center" vertical="center" wrapText="1"/>
      <protection/>
    </xf>
    <xf numFmtId="49" fontId="66" fillId="3" borderId="25" xfId="146" applyNumberFormat="1" applyFont="1" applyFill="1" applyBorder="1" applyAlignment="1">
      <alignment horizontal="center" vertical="center" wrapText="1"/>
      <protection/>
    </xf>
    <xf numFmtId="49" fontId="67" fillId="3" borderId="26" xfId="146" applyNumberFormat="1" applyFont="1" applyFill="1" applyBorder="1" applyAlignment="1">
      <alignment horizontal="center" vertical="center" wrapText="1"/>
      <protection/>
    </xf>
    <xf numFmtId="49" fontId="67" fillId="3" borderId="25" xfId="146" applyNumberFormat="1" applyFont="1" applyFill="1" applyBorder="1" applyAlignment="1">
      <alignment horizontal="center" vertical="center" wrapText="1"/>
      <protection/>
    </xf>
    <xf numFmtId="49" fontId="7" fillId="44" borderId="26" xfId="146" applyNumberFormat="1" applyFont="1" applyFill="1" applyBorder="1" applyAlignment="1">
      <alignment horizontal="center"/>
      <protection/>
    </xf>
    <xf numFmtId="49" fontId="7" fillId="44" borderId="25" xfId="146" applyNumberFormat="1" applyFont="1" applyFill="1" applyBorder="1" applyAlignment="1">
      <alignment horizontal="center"/>
      <protection/>
    </xf>
    <xf numFmtId="49" fontId="21" fillId="0" borderId="26" xfId="146" applyNumberFormat="1" applyFont="1" applyFill="1" applyBorder="1" applyAlignment="1">
      <alignment horizontal="center" vertical="center" wrapText="1"/>
      <protection/>
    </xf>
    <xf numFmtId="49" fontId="21" fillId="0" borderId="25" xfId="146" applyNumberFormat="1" applyFont="1" applyFill="1" applyBorder="1" applyAlignment="1">
      <alignment horizontal="center" vertical="center" wrapText="1"/>
      <protection/>
    </xf>
    <xf numFmtId="0" fontId="6" fillId="0" borderId="35" xfId="146" applyNumberFormat="1" applyFont="1" applyFill="1" applyBorder="1" applyAlignment="1">
      <alignment horizontal="center" vertical="center" wrapText="1"/>
      <protection/>
    </xf>
    <xf numFmtId="0" fontId="6" fillId="0" borderId="36" xfId="146" applyNumberFormat="1" applyFont="1" applyFill="1" applyBorder="1" applyAlignment="1">
      <alignment horizontal="center" vertical="center" wrapText="1"/>
      <protection/>
    </xf>
    <xf numFmtId="0" fontId="6" fillId="0" borderId="24" xfId="146" applyNumberFormat="1" applyFont="1" applyFill="1" applyBorder="1" applyAlignment="1">
      <alignment horizontal="center" vertical="center" wrapText="1"/>
      <protection/>
    </xf>
    <xf numFmtId="0" fontId="6" fillId="0" borderId="39" xfId="146" applyNumberFormat="1" applyFont="1" applyFill="1" applyBorder="1" applyAlignment="1">
      <alignment horizontal="center" vertical="center" wrapText="1"/>
      <protection/>
    </xf>
    <xf numFmtId="0" fontId="6" fillId="0" borderId="27" xfId="146" applyNumberFormat="1" applyFont="1" applyFill="1" applyBorder="1" applyAlignment="1">
      <alignment horizontal="center" vertical="center" wrapText="1"/>
      <protection/>
    </xf>
    <xf numFmtId="0" fontId="6" fillId="0" borderId="37" xfId="146" applyNumberFormat="1" applyFont="1" applyFill="1" applyBorder="1" applyAlignment="1">
      <alignment horizontal="center" vertical="center" wrapText="1"/>
      <protection/>
    </xf>
    <xf numFmtId="49" fontId="6" fillId="0" borderId="26" xfId="146" applyNumberFormat="1" applyFont="1" applyFill="1" applyBorder="1" applyAlignment="1">
      <alignment horizontal="center" vertical="center" wrapText="1"/>
      <protection/>
    </xf>
    <xf numFmtId="49" fontId="6" fillId="0" borderId="38" xfId="146" applyNumberFormat="1" applyFont="1" applyFill="1" applyBorder="1" applyAlignment="1">
      <alignment horizontal="center" vertical="center" wrapText="1"/>
      <protection/>
    </xf>
    <xf numFmtId="49" fontId="6" fillId="0" borderId="23" xfId="146" applyNumberFormat="1" applyFont="1" applyFill="1" applyBorder="1" applyAlignment="1">
      <alignment horizontal="center" vertical="center" wrapText="1"/>
      <protection/>
    </xf>
    <xf numFmtId="49" fontId="3" fillId="0" borderId="0" xfId="146" applyNumberFormat="1" applyFont="1" applyFill="1" applyAlignment="1">
      <alignment horizontal="left"/>
      <protection/>
    </xf>
    <xf numFmtId="49" fontId="18" fillId="0" borderId="0" xfId="146" applyNumberFormat="1" applyFont="1" applyFill="1" applyBorder="1" applyAlignment="1">
      <alignment horizontal="left"/>
      <protection/>
    </xf>
    <xf numFmtId="49" fontId="0" fillId="0" borderId="0" xfId="146" applyNumberFormat="1" applyFont="1" applyFill="1" applyAlignment="1">
      <alignment horizontal="justify" wrapText="1"/>
      <protection/>
    </xf>
    <xf numFmtId="49" fontId="3" fillId="0" borderId="0" xfId="146" applyNumberFormat="1" applyFont="1" applyFill="1" applyAlignment="1">
      <alignment horizontal="center" vertical="top" wrapText="1"/>
      <protection/>
    </xf>
    <xf numFmtId="49" fontId="30" fillId="0" borderId="0" xfId="146" applyNumberFormat="1" applyFont="1" applyBorder="1" applyAlignment="1">
      <alignment horizontal="center"/>
      <protection/>
    </xf>
    <xf numFmtId="49" fontId="25" fillId="0" borderId="0" xfId="146" applyNumberFormat="1" applyFont="1" applyBorder="1" applyAlignment="1">
      <alignment horizontal="center"/>
      <protection/>
    </xf>
    <xf numFmtId="49" fontId="7" fillId="0" borderId="35" xfId="146" applyNumberFormat="1" applyFont="1" applyFill="1" applyBorder="1" applyAlignment="1">
      <alignment horizontal="center" vertical="center" wrapText="1"/>
      <protection/>
    </xf>
    <xf numFmtId="49" fontId="7" fillId="0" borderId="36" xfId="146" applyNumberFormat="1" applyFont="1" applyFill="1" applyBorder="1" applyAlignment="1">
      <alignment horizontal="center" vertical="center" wrapText="1"/>
      <protection/>
    </xf>
    <xf numFmtId="49" fontId="7" fillId="0" borderId="24" xfId="146" applyNumberFormat="1" applyFont="1" applyFill="1" applyBorder="1" applyAlignment="1">
      <alignment horizontal="center" vertical="center" wrapText="1"/>
      <protection/>
    </xf>
    <xf numFmtId="49" fontId="7" fillId="0" borderId="39" xfId="146" applyNumberFormat="1" applyFont="1" applyFill="1" applyBorder="1" applyAlignment="1">
      <alignment horizontal="center" vertical="center" wrapText="1"/>
      <protection/>
    </xf>
    <xf numFmtId="49" fontId="7" fillId="0" borderId="27" xfId="146" applyNumberFormat="1" applyFont="1" applyFill="1" applyBorder="1" applyAlignment="1">
      <alignment horizontal="center" vertical="center" wrapText="1"/>
      <protection/>
    </xf>
    <xf numFmtId="49" fontId="7" fillId="0" borderId="37" xfId="146" applyNumberFormat="1" applyFont="1" applyFill="1" applyBorder="1" applyAlignment="1">
      <alignment horizontal="center" vertical="center" wrapText="1"/>
      <protection/>
    </xf>
    <xf numFmtId="49" fontId="13" fillId="0" borderId="0" xfId="146" applyNumberFormat="1" applyFont="1" applyBorder="1" applyAlignment="1">
      <alignment wrapText="1"/>
      <protection/>
    </xf>
    <xf numFmtId="49" fontId="13" fillId="0" borderId="0" xfId="146" applyNumberFormat="1" applyFont="1" applyBorder="1" applyAlignment="1">
      <alignment horizontal="center" wrapText="1"/>
      <protection/>
    </xf>
    <xf numFmtId="49" fontId="7" fillId="44" borderId="26" xfId="146" applyNumberFormat="1" applyFont="1" applyFill="1" applyBorder="1" applyAlignment="1">
      <alignment horizontal="center" vertical="center" wrapText="1"/>
      <protection/>
    </xf>
    <xf numFmtId="49" fontId="7" fillId="44" borderId="25" xfId="146" applyNumberFormat="1" applyFont="1" applyFill="1" applyBorder="1" applyAlignment="1">
      <alignment horizontal="center" vertical="center" wrapText="1"/>
      <protection/>
    </xf>
    <xf numFmtId="49" fontId="16" fillId="0" borderId="26" xfId="146" applyNumberFormat="1" applyFont="1" applyBorder="1" applyAlignment="1">
      <alignment horizontal="center" wrapText="1"/>
      <protection/>
    </xf>
    <xf numFmtId="49" fontId="16" fillId="0" borderId="25" xfId="146" applyNumberFormat="1" applyFont="1" applyBorder="1" applyAlignment="1">
      <alignment horizontal="center" wrapText="1"/>
      <protection/>
    </xf>
    <xf numFmtId="49" fontId="28" fillId="0" borderId="0" xfId="146" applyNumberFormat="1" applyFont="1" applyBorder="1" applyAlignment="1">
      <alignment horizontal="center" wrapText="1"/>
      <protection/>
    </xf>
    <xf numFmtId="49" fontId="28" fillId="0" borderId="0" xfId="146" applyNumberFormat="1" applyFont="1" applyAlignment="1">
      <alignment horizontal="center"/>
      <protection/>
    </xf>
    <xf numFmtId="49" fontId="0" fillId="0" borderId="0" xfId="146" applyNumberFormat="1" applyFont="1" applyAlignment="1">
      <alignment horizontal="left" wrapText="1"/>
      <protection/>
    </xf>
    <xf numFmtId="49" fontId="3" fillId="0" borderId="0" xfId="146" applyNumberFormat="1" applyFont="1" applyAlignment="1">
      <alignment horizontal="left" wrapText="1"/>
      <protection/>
    </xf>
    <xf numFmtId="49" fontId="0" fillId="0" borderId="0" xfId="146" applyNumberFormat="1" applyFont="1" applyAlignment="1">
      <alignment/>
      <protection/>
    </xf>
    <xf numFmtId="49" fontId="14" fillId="0" borderId="0" xfId="146" applyNumberFormat="1" applyFont="1" applyAlignment="1">
      <alignment horizontal="center" wrapText="1"/>
      <protection/>
    </xf>
    <xf numFmtId="49" fontId="18" fillId="0" borderId="22" xfId="146" applyNumberFormat="1" applyFont="1" applyBorder="1" applyAlignment="1">
      <alignment horizontal="left"/>
      <protection/>
    </xf>
    <xf numFmtId="49" fontId="18" fillId="0" borderId="0" xfId="146" applyNumberFormat="1" applyFont="1" applyAlignment="1">
      <alignment horizontal="center"/>
      <protection/>
    </xf>
    <xf numFmtId="49" fontId="55" fillId="3" borderId="26" xfId="146" applyNumberFormat="1" applyFont="1" applyFill="1" applyBorder="1" applyAlignment="1">
      <alignment horizontal="center" wrapText="1"/>
      <protection/>
    </xf>
    <xf numFmtId="49" fontId="55" fillId="3" borderId="25" xfId="146" applyNumberFormat="1" applyFont="1" applyFill="1" applyBorder="1" applyAlignment="1">
      <alignment horizontal="center" wrapText="1"/>
      <protection/>
    </xf>
    <xf numFmtId="49" fontId="54" fillId="3" borderId="26" xfId="146" applyNumberFormat="1" applyFont="1" applyFill="1" applyBorder="1" applyAlignment="1">
      <alignment horizontal="center" wrapText="1"/>
      <protection/>
    </xf>
    <xf numFmtId="49" fontId="54" fillId="3" borderId="25" xfId="146" applyNumberFormat="1" applyFont="1" applyFill="1" applyBorder="1" applyAlignment="1">
      <alignment horizontal="center" wrapText="1"/>
      <protection/>
    </xf>
    <xf numFmtId="49" fontId="3" fillId="0" borderId="20" xfId="146" applyNumberFormat="1" applyFont="1" applyBorder="1" applyAlignment="1">
      <alignment horizontal="center"/>
      <protection/>
    </xf>
    <xf numFmtId="49" fontId="18" fillId="0" borderId="0" xfId="146" applyNumberFormat="1" applyFont="1" applyBorder="1" applyAlignment="1">
      <alignment horizontal="left"/>
      <protection/>
    </xf>
    <xf numFmtId="49" fontId="3" fillId="0" borderId="20" xfId="146" applyNumberFormat="1" applyFont="1" applyFill="1" applyBorder="1" applyAlignment="1">
      <alignment horizontal="center" vertical="center" wrapText="1"/>
      <protection/>
    </xf>
    <xf numFmtId="49" fontId="20" fillId="0" borderId="20" xfId="146" applyNumberFormat="1" applyFont="1" applyFill="1" applyBorder="1" applyAlignment="1">
      <alignment horizontal="center" vertical="center" wrapText="1"/>
      <protection/>
    </xf>
    <xf numFmtId="49" fontId="75" fillId="4" borderId="21" xfId="148" applyNumberFormat="1" applyFont="1" applyFill="1" applyBorder="1" applyAlignment="1">
      <alignment horizontal="center" vertical="center" wrapText="1"/>
      <protection/>
    </xf>
    <xf numFmtId="49" fontId="75" fillId="4" borderId="38" xfId="148" applyNumberFormat="1" applyFont="1" applyFill="1" applyBorder="1" applyAlignment="1">
      <alignment horizontal="center" vertical="center" wrapText="1"/>
      <protection/>
    </xf>
    <xf numFmtId="49" fontId="75" fillId="4" borderId="23" xfId="148" applyNumberFormat="1" applyFont="1" applyFill="1" applyBorder="1" applyAlignment="1">
      <alignment horizontal="center" vertical="center" wrapText="1"/>
      <protection/>
    </xf>
    <xf numFmtId="49" fontId="0" fillId="0" borderId="0" xfId="148" applyNumberFormat="1" applyFont="1" applyAlignment="1">
      <alignment horizontal="left"/>
      <protection/>
    </xf>
    <xf numFmtId="49" fontId="83" fillId="0" borderId="26" xfId="148" applyNumberFormat="1" applyFont="1" applyBorder="1" applyAlignment="1">
      <alignment horizontal="center" vertical="center" wrapText="1"/>
      <protection/>
    </xf>
    <xf numFmtId="49" fontId="83" fillId="0" borderId="25" xfId="148" applyNumberFormat="1" applyFont="1" applyBorder="1" applyAlignment="1">
      <alignment horizontal="center" vertical="center" wrapText="1"/>
      <protection/>
    </xf>
    <xf numFmtId="49" fontId="30" fillId="0" borderId="0" xfId="148" applyNumberFormat="1" applyFont="1" applyBorder="1" applyAlignment="1">
      <alignment horizontal="center" wrapText="1"/>
      <protection/>
    </xf>
    <xf numFmtId="49" fontId="6" fillId="0" borderId="40" xfId="148" applyNumberFormat="1" applyFont="1" applyFill="1" applyBorder="1" applyAlignment="1">
      <alignment horizontal="center" vertical="center"/>
      <protection/>
    </xf>
    <xf numFmtId="49" fontId="6" fillId="0" borderId="20" xfId="148" applyNumberFormat="1" applyFont="1" applyFill="1" applyBorder="1" applyAlignment="1">
      <alignment horizontal="center" vertical="center" wrapText="1"/>
      <protection/>
    </xf>
    <xf numFmtId="49" fontId="6" fillId="0" borderId="21" xfId="148" applyNumberFormat="1" applyFont="1" applyFill="1" applyBorder="1" applyAlignment="1">
      <alignment horizontal="center" vertical="center" wrapText="1"/>
      <protection/>
    </xf>
    <xf numFmtId="49" fontId="6" fillId="0" borderId="38" xfId="148" applyNumberFormat="1" applyFont="1" applyFill="1" applyBorder="1" applyAlignment="1">
      <alignment horizontal="center" vertical="center" wrapText="1"/>
      <protection/>
    </xf>
    <xf numFmtId="49" fontId="6" fillId="0" borderId="23" xfId="148" applyNumberFormat="1" applyFont="1" applyFill="1" applyBorder="1" applyAlignment="1">
      <alignment horizontal="center" vertical="center" wrapText="1"/>
      <protection/>
    </xf>
    <xf numFmtId="49" fontId="13" fillId="0" borderId="0" xfId="148" applyNumberFormat="1" applyFont="1" applyAlignment="1">
      <alignment horizontal="center"/>
      <protection/>
    </xf>
    <xf numFmtId="49" fontId="30" fillId="0" borderId="0" xfId="148" applyNumberFormat="1" applyFont="1" applyBorder="1" applyAlignment="1">
      <alignment horizontal="center"/>
      <protection/>
    </xf>
    <xf numFmtId="49" fontId="85" fillId="3" borderId="26" xfId="148" applyNumberFormat="1" applyFont="1" applyFill="1" applyBorder="1" applyAlignment="1">
      <alignment horizontal="center" vertical="center" wrapText="1"/>
      <protection/>
    </xf>
    <xf numFmtId="49" fontId="85" fillId="3" borderId="25" xfId="148" applyNumberFormat="1" applyFont="1" applyFill="1" applyBorder="1" applyAlignment="1">
      <alignment horizontal="center" vertical="center" wrapText="1"/>
      <protection/>
    </xf>
    <xf numFmtId="49" fontId="28" fillId="0" borderId="0" xfId="148" applyNumberFormat="1" applyFont="1" applyAlignment="1">
      <alignment horizontal="center"/>
      <protection/>
    </xf>
    <xf numFmtId="0" fontId="25" fillId="47" borderId="0" xfId="148" applyFont="1" applyFill="1" applyBorder="1" applyAlignment="1">
      <alignment horizontal="center"/>
      <protection/>
    </xf>
    <xf numFmtId="49" fontId="30" fillId="0" borderId="0" xfId="148" applyNumberFormat="1" applyFont="1" applyAlignment="1">
      <alignment horizontal="center"/>
      <protection/>
    </xf>
    <xf numFmtId="49" fontId="25" fillId="0" borderId="0" xfId="148" applyNumberFormat="1" applyFont="1" applyBorder="1" applyAlignment="1">
      <alignment horizontal="center" wrapText="1"/>
      <protection/>
    </xf>
    <xf numFmtId="49" fontId="6" fillId="0" borderId="26" xfId="148" applyNumberFormat="1" applyFont="1" applyBorder="1" applyAlignment="1">
      <alignment horizontal="center" vertical="center" wrapText="1"/>
      <protection/>
    </xf>
    <xf numFmtId="49" fontId="6" fillId="0" borderId="25" xfId="148" applyNumberFormat="1" applyFont="1" applyBorder="1" applyAlignment="1">
      <alignment horizontal="center" vertical="center" wrapText="1"/>
      <protection/>
    </xf>
    <xf numFmtId="49" fontId="25" fillId="0" borderId="0" xfId="148" applyNumberFormat="1" applyFont="1" applyBorder="1" applyAlignment="1">
      <alignment horizontal="center"/>
      <protection/>
    </xf>
    <xf numFmtId="49" fontId="3" fillId="0" borderId="0" xfId="148" applyNumberFormat="1" applyFont="1" applyBorder="1" applyAlignment="1">
      <alignment horizontal="left"/>
      <protection/>
    </xf>
    <xf numFmtId="49" fontId="6" fillId="0" borderId="35" xfId="148" applyNumberFormat="1" applyFont="1" applyFill="1" applyBorder="1" applyAlignment="1">
      <alignment horizontal="center" vertical="center"/>
      <protection/>
    </xf>
    <xf numFmtId="49" fontId="6" fillId="0" borderId="36" xfId="148" applyNumberFormat="1" applyFont="1" applyFill="1" applyBorder="1" applyAlignment="1">
      <alignment horizontal="center" vertical="center"/>
      <protection/>
    </xf>
    <xf numFmtId="49" fontId="6" fillId="0" borderId="24" xfId="148" applyNumberFormat="1" applyFont="1" applyFill="1" applyBorder="1" applyAlignment="1">
      <alignment horizontal="center" vertical="center"/>
      <protection/>
    </xf>
    <xf numFmtId="49" fontId="6" fillId="0" borderId="39" xfId="148" applyNumberFormat="1" applyFont="1" applyFill="1" applyBorder="1" applyAlignment="1">
      <alignment horizontal="center" vertical="center"/>
      <protection/>
    </xf>
    <xf numFmtId="49" fontId="6" fillId="0" borderId="27" xfId="148" applyNumberFormat="1" applyFont="1" applyFill="1" applyBorder="1" applyAlignment="1">
      <alignment horizontal="center" vertical="center"/>
      <protection/>
    </xf>
    <xf numFmtId="49" fontId="6" fillId="0" borderId="37" xfId="148" applyNumberFormat="1" applyFont="1" applyFill="1" applyBorder="1" applyAlignment="1">
      <alignment horizontal="center" vertical="center"/>
      <protection/>
    </xf>
    <xf numFmtId="49" fontId="14" fillId="0" borderId="0" xfId="148" applyNumberFormat="1" applyFont="1" applyFill="1" applyAlignment="1">
      <alignment horizontal="center" wrapText="1"/>
      <protection/>
    </xf>
    <xf numFmtId="49" fontId="14" fillId="0" borderId="0" xfId="148" applyNumberFormat="1" applyFont="1" applyAlignment="1">
      <alignment horizontal="center"/>
      <protection/>
    </xf>
    <xf numFmtId="49" fontId="4" fillId="0" borderId="0" xfId="148" applyNumberFormat="1" applyFont="1" applyAlignment="1">
      <alignment horizontal="left"/>
      <protection/>
    </xf>
    <xf numFmtId="49" fontId="6" fillId="0" borderId="26" xfId="148" applyNumberFormat="1" applyFont="1" applyFill="1" applyBorder="1" applyAlignment="1">
      <alignment horizontal="center" vertical="center"/>
      <protection/>
    </xf>
    <xf numFmtId="49" fontId="3" fillId="0" borderId="0" xfId="148" applyNumberFormat="1" applyFont="1" applyFill="1" applyAlignment="1">
      <alignment horizontal="left"/>
      <protection/>
    </xf>
    <xf numFmtId="49" fontId="32" fillId="0" borderId="0" xfId="148" applyNumberFormat="1" applyFont="1" applyAlignment="1">
      <alignment horizontal="center"/>
      <protection/>
    </xf>
    <xf numFmtId="49" fontId="18" fillId="0" borderId="0" xfId="148" applyNumberFormat="1" applyFont="1" applyBorder="1" applyAlignment="1">
      <alignment horizontal="left"/>
      <protection/>
    </xf>
    <xf numFmtId="49" fontId="6" fillId="0" borderId="26" xfId="148" applyNumberFormat="1" applyFont="1" applyFill="1" applyBorder="1" applyAlignment="1">
      <alignment horizontal="center" vertical="center" wrapText="1"/>
      <protection/>
    </xf>
    <xf numFmtId="49" fontId="84" fillId="3" borderId="26" xfId="148" applyNumberFormat="1" applyFont="1" applyFill="1" applyBorder="1" applyAlignment="1">
      <alignment horizontal="center" vertical="center" wrapText="1"/>
      <protection/>
    </xf>
    <xf numFmtId="49" fontId="84" fillId="3" borderId="25" xfId="148" applyNumberFormat="1" applyFont="1" applyFill="1" applyBorder="1" applyAlignment="1">
      <alignment horizontal="center" vertical="center" wrapText="1"/>
      <protection/>
    </xf>
    <xf numFmtId="49" fontId="6" fillId="0" borderId="25" xfId="148" applyNumberFormat="1" applyFont="1" applyFill="1" applyBorder="1" applyAlignment="1">
      <alignment horizontal="center" vertical="center" wrapText="1"/>
      <protection/>
    </xf>
    <xf numFmtId="0" fontId="67" fillId="3" borderId="26" xfId="148" applyFont="1" applyFill="1" applyBorder="1" applyAlignment="1">
      <alignment horizontal="center" vertical="center" wrapText="1"/>
      <protection/>
    </xf>
    <xf numFmtId="0" fontId="67" fillId="3" borderId="25" xfId="148" applyFont="1" applyFill="1" applyBorder="1" applyAlignment="1">
      <alignment horizontal="center" vertical="center" wrapText="1"/>
      <protection/>
    </xf>
    <xf numFmtId="0" fontId="87" fillId="0" borderId="0" xfId="148" applyFont="1" applyAlignment="1">
      <alignment horizontal="center"/>
      <protection/>
    </xf>
    <xf numFmtId="0" fontId="6" fillId="0" borderId="26" xfId="148" applyFont="1" applyBorder="1" applyAlignment="1">
      <alignment horizontal="center" vertical="center" wrapText="1"/>
      <protection/>
    </xf>
    <xf numFmtId="0" fontId="6" fillId="0" borderId="25" xfId="148" applyFont="1" applyBorder="1" applyAlignment="1">
      <alignment horizontal="center" vertical="center" wrapText="1"/>
      <protection/>
    </xf>
    <xf numFmtId="0" fontId="6" fillId="0" borderId="20" xfId="148" applyFont="1" applyBorder="1" applyAlignment="1">
      <alignment horizontal="center" vertical="center" wrapText="1"/>
      <protection/>
    </xf>
    <xf numFmtId="0" fontId="6" fillId="0" borderId="21" xfId="148" applyFont="1" applyBorder="1" applyAlignment="1">
      <alignment horizontal="center" vertical="center" wrapText="1"/>
      <protection/>
    </xf>
    <xf numFmtId="0" fontId="6" fillId="0" borderId="38" xfId="148" applyFont="1" applyBorder="1" applyAlignment="1">
      <alignment horizontal="center" vertical="center" wrapText="1"/>
      <protection/>
    </xf>
    <xf numFmtId="0" fontId="6" fillId="0" borderId="23" xfId="148" applyFont="1" applyBorder="1" applyAlignment="1">
      <alignment horizontal="center" vertical="center" wrapText="1"/>
      <protection/>
    </xf>
    <xf numFmtId="0" fontId="21" fillId="0" borderId="26" xfId="148" applyFont="1" applyBorder="1" applyAlignment="1">
      <alignment horizontal="center" vertical="center" wrapText="1"/>
      <protection/>
    </xf>
    <xf numFmtId="0" fontId="21" fillId="0" borderId="25" xfId="148" applyFont="1" applyBorder="1" applyAlignment="1">
      <alignment horizontal="center" vertical="center" wrapText="1"/>
      <protection/>
    </xf>
    <xf numFmtId="49" fontId="6" fillId="0" borderId="19" xfId="148" applyNumberFormat="1" applyFont="1" applyFill="1" applyBorder="1" applyAlignment="1">
      <alignment horizontal="center" vertical="center"/>
      <protection/>
    </xf>
    <xf numFmtId="49" fontId="6" fillId="0" borderId="0" xfId="148" applyNumberFormat="1" applyFont="1" applyFill="1" applyBorder="1" applyAlignment="1">
      <alignment horizontal="center" vertical="center"/>
      <protection/>
    </xf>
    <xf numFmtId="49" fontId="6" fillId="0" borderId="22" xfId="148" applyNumberFormat="1" applyFont="1" applyFill="1" applyBorder="1" applyAlignment="1">
      <alignment horizontal="center" vertical="center"/>
      <protection/>
    </xf>
    <xf numFmtId="0" fontId="13" fillId="0" borderId="22" xfId="148" applyFont="1" applyBorder="1" applyAlignment="1">
      <alignment horizontal="left"/>
      <protection/>
    </xf>
    <xf numFmtId="0" fontId="6" fillId="0" borderId="26" xfId="148" applyFont="1" applyBorder="1" applyAlignment="1">
      <alignment horizontal="center" vertical="center"/>
      <protection/>
    </xf>
    <xf numFmtId="0" fontId="6" fillId="0" borderId="40" xfId="148" applyFont="1" applyBorder="1" applyAlignment="1">
      <alignment horizontal="center" vertical="center"/>
      <protection/>
    </xf>
    <xf numFmtId="0" fontId="6" fillId="0" borderId="25" xfId="148" applyFont="1" applyBorder="1" applyAlignment="1">
      <alignment horizontal="center" vertical="center"/>
      <protection/>
    </xf>
    <xf numFmtId="0" fontId="30" fillId="0" borderId="0" xfId="148" applyNumberFormat="1" applyFont="1" applyBorder="1" applyAlignment="1">
      <alignment horizontal="center"/>
      <protection/>
    </xf>
    <xf numFmtId="0" fontId="30" fillId="0" borderId="0" xfId="148" applyFont="1" applyBorder="1" applyAlignment="1">
      <alignment horizontal="center" wrapText="1"/>
      <protection/>
    </xf>
    <xf numFmtId="0" fontId="25" fillId="0" borderId="0" xfId="148" applyFont="1" applyBorder="1" applyAlignment="1">
      <alignment horizontal="center" wrapText="1"/>
      <protection/>
    </xf>
    <xf numFmtId="0" fontId="66" fillId="3" borderId="26" xfId="148" applyFont="1" applyFill="1" applyBorder="1" applyAlignment="1">
      <alignment horizontal="center" vertical="center" wrapText="1"/>
      <protection/>
    </xf>
    <xf numFmtId="0" fontId="66" fillId="3" borderId="25" xfId="148" applyFont="1" applyFill="1" applyBorder="1" applyAlignment="1">
      <alignment horizontal="center" vertical="center" wrapText="1"/>
      <protection/>
    </xf>
    <xf numFmtId="0" fontId="25" fillId="0" borderId="0" xfId="148" applyNumberFormat="1" applyFont="1" applyBorder="1" applyAlignment="1">
      <alignment horizontal="center"/>
      <protection/>
    </xf>
    <xf numFmtId="0" fontId="3" fillId="0" borderId="0" xfId="148" applyNumberFormat="1" applyFont="1" applyAlignment="1">
      <alignment horizontal="left"/>
      <protection/>
    </xf>
    <xf numFmtId="0" fontId="0" fillId="0" borderId="0" xfId="148" applyFont="1" applyAlignment="1">
      <alignment horizontal="left"/>
      <protection/>
    </xf>
    <xf numFmtId="0" fontId="0" fillId="0" borderId="0" xfId="148" applyFont="1" applyBorder="1" applyAlignment="1">
      <alignment/>
      <protection/>
    </xf>
    <xf numFmtId="0" fontId="14" fillId="0" borderId="0" xfId="148" applyFont="1" applyAlignment="1">
      <alignment horizontal="center" wrapText="1"/>
      <protection/>
    </xf>
    <xf numFmtId="0" fontId="13" fillId="0" borderId="0" xfId="148" applyFont="1" applyBorder="1" applyAlignment="1">
      <alignment horizontal="center"/>
      <protection/>
    </xf>
    <xf numFmtId="3" fontId="0" fillId="47" borderId="0" xfId="148" applyNumberFormat="1" applyFont="1" applyFill="1" applyBorder="1" applyAlignment="1">
      <alignment horizontal="left"/>
      <protection/>
    </xf>
    <xf numFmtId="0" fontId="3" fillId="0" borderId="0" xfId="148" applyFont="1" applyBorder="1" applyAlignment="1">
      <alignment horizontal="left"/>
      <protection/>
    </xf>
    <xf numFmtId="0" fontId="0" fillId="0" borderId="0" xfId="148" applyFont="1" applyBorder="1" applyAlignment="1">
      <alignment horizontal="left"/>
      <protection/>
    </xf>
    <xf numFmtId="0" fontId="12" fillId="0" borderId="20" xfId="148" applyFont="1" applyBorder="1" applyAlignment="1">
      <alignment horizontal="center" vertical="center" wrapText="1"/>
      <protection/>
    </xf>
    <xf numFmtId="0" fontId="14" fillId="0" borderId="0" xfId="148" applyFont="1" applyAlignment="1">
      <alignment horizontal="center"/>
      <protection/>
    </xf>
    <xf numFmtId="0" fontId="6" fillId="0" borderId="20" xfId="148" applyFont="1" applyFill="1" applyBorder="1" applyAlignment="1">
      <alignment horizontal="center" vertical="center" wrapText="1"/>
      <protection/>
    </xf>
    <xf numFmtId="0" fontId="32" fillId="0" borderId="0" xfId="148" applyFont="1" applyAlignment="1">
      <alignment horizontal="center"/>
      <protection/>
    </xf>
    <xf numFmtId="0" fontId="6" fillId="0" borderId="35" xfId="148" applyFont="1" applyBorder="1" applyAlignment="1">
      <alignment horizontal="center" vertical="center" wrapText="1"/>
      <protection/>
    </xf>
    <xf numFmtId="0" fontId="6" fillId="0" borderId="19" xfId="148" applyFont="1" applyBorder="1" applyAlignment="1">
      <alignment horizontal="center" vertical="center" wrapText="1"/>
      <protection/>
    </xf>
    <xf numFmtId="0" fontId="6" fillId="0" borderId="36" xfId="148" applyFont="1" applyBorder="1" applyAlignment="1">
      <alignment horizontal="center" vertical="center" wrapText="1"/>
      <protection/>
    </xf>
    <xf numFmtId="0" fontId="6" fillId="0" borderId="24" xfId="148" applyFont="1" applyBorder="1" applyAlignment="1">
      <alignment horizontal="center" vertical="center" wrapText="1"/>
      <protection/>
    </xf>
    <xf numFmtId="0" fontId="6" fillId="0" borderId="0" xfId="148" applyFont="1" applyBorder="1" applyAlignment="1">
      <alignment horizontal="center" vertical="center" wrapText="1"/>
      <protection/>
    </xf>
    <xf numFmtId="0" fontId="6" fillId="0" borderId="39" xfId="148" applyFont="1" applyBorder="1" applyAlignment="1">
      <alignment horizontal="center" vertical="center" wrapText="1"/>
      <protection/>
    </xf>
    <xf numFmtId="0" fontId="6" fillId="0" borderId="20" xfId="148" applyFont="1" applyBorder="1" applyAlignment="1">
      <alignment horizontal="center" vertical="center"/>
      <protection/>
    </xf>
    <xf numFmtId="49" fontId="19" fillId="0" borderId="22" xfId="148" applyNumberFormat="1" applyFont="1" applyBorder="1" applyAlignment="1">
      <alignment horizontal="center"/>
      <protection/>
    </xf>
    <xf numFmtId="49" fontId="73" fillId="0" borderId="20" xfId="148" applyNumberFormat="1" applyFont="1" applyBorder="1" applyAlignment="1">
      <alignment horizontal="center" vertical="center" wrapText="1"/>
      <protection/>
    </xf>
    <xf numFmtId="49" fontId="12" fillId="0" borderId="20" xfId="148" applyNumberFormat="1" applyFont="1" applyBorder="1" applyAlignment="1">
      <alignment horizontal="center" vertical="center" wrapText="1"/>
      <protection/>
    </xf>
    <xf numFmtId="49" fontId="3" fillId="0" borderId="0" xfId="148" applyNumberFormat="1" applyFont="1" applyAlignment="1">
      <alignment horizontal="left"/>
      <protection/>
    </xf>
    <xf numFmtId="49" fontId="5" fillId="0" borderId="0" xfId="148" applyNumberFormat="1" applyFont="1" applyBorder="1" applyAlignment="1">
      <alignment horizontal="left" wrapText="1"/>
      <protection/>
    </xf>
    <xf numFmtId="49" fontId="5" fillId="0" borderId="0" xfId="148" applyNumberFormat="1" applyFont="1" applyBorder="1" applyAlignment="1">
      <alignment horizontal="left"/>
      <protection/>
    </xf>
    <xf numFmtId="49" fontId="14" fillId="0" borderId="0" xfId="148" applyNumberFormat="1" applyFont="1" applyAlignment="1">
      <alignment horizontal="center" wrapText="1"/>
      <protection/>
    </xf>
    <xf numFmtId="49" fontId="0" fillId="47" borderId="0" xfId="148" applyNumberFormat="1" applyFont="1" applyFill="1" applyBorder="1" applyAlignment="1">
      <alignment horizontal="left" vertical="top" wrapText="1"/>
      <protection/>
    </xf>
    <xf numFmtId="49" fontId="3" fillId="47" borderId="0" xfId="148" applyNumberFormat="1" applyFont="1" applyFill="1" applyBorder="1" applyAlignment="1">
      <alignment horizontal="left" vertical="top" wrapText="1"/>
      <protection/>
    </xf>
    <xf numFmtId="49" fontId="0" fillId="0" borderId="0" xfId="148" applyNumberFormat="1" applyFont="1" applyAlignment="1">
      <alignment horizontal="justify" vertical="top"/>
      <protection/>
    </xf>
    <xf numFmtId="49" fontId="0" fillId="0" borderId="0" xfId="148" applyNumberFormat="1" applyFont="1" applyBorder="1" applyAlignment="1">
      <alignment horizontal="justify" vertical="top" wrapText="1"/>
      <protection/>
    </xf>
    <xf numFmtId="49" fontId="0" fillId="0" borderId="0" xfId="148" applyNumberFormat="1" applyFont="1" applyBorder="1" applyAlignment="1">
      <alignment horizontal="justify" vertical="top"/>
      <protection/>
    </xf>
    <xf numFmtId="49" fontId="18" fillId="0" borderId="0" xfId="148" applyNumberFormat="1" applyFont="1" applyAlignment="1">
      <alignment horizontal="center" wrapText="1"/>
      <protection/>
    </xf>
    <xf numFmtId="49" fontId="78" fillId="0" borderId="0" xfId="148" applyNumberFormat="1" applyFont="1" applyAlignment="1">
      <alignment horizontal="center"/>
      <protection/>
    </xf>
    <xf numFmtId="49" fontId="6" fillId="0" borderId="20" xfId="148" applyNumberFormat="1" applyFont="1" applyFill="1" applyBorder="1" applyAlignment="1">
      <alignment horizontal="center" vertical="center"/>
      <protection/>
    </xf>
    <xf numFmtId="49" fontId="76" fillId="3" borderId="26" xfId="148" applyNumberFormat="1" applyFont="1" applyFill="1" applyBorder="1" applyAlignment="1">
      <alignment horizontal="center" vertical="center" wrapText="1"/>
      <protection/>
    </xf>
    <xf numFmtId="49" fontId="76" fillId="3" borderId="25" xfId="148" applyNumberFormat="1" applyFont="1" applyFill="1" applyBorder="1" applyAlignment="1">
      <alignment horizontal="center" vertical="center" wrapText="1"/>
      <protection/>
    </xf>
    <xf numFmtId="49" fontId="74" fillId="3" borderId="26" xfId="148" applyNumberFormat="1" applyFont="1" applyFill="1" applyBorder="1" applyAlignment="1">
      <alignment horizontal="center" vertical="center" wrapText="1"/>
      <protection/>
    </xf>
    <xf numFmtId="49" fontId="74" fillId="3" borderId="25" xfId="148" applyNumberFormat="1" applyFont="1" applyFill="1" applyBorder="1" applyAlignment="1">
      <alignment horizontal="center" vertical="center" wrapText="1"/>
      <protection/>
    </xf>
    <xf numFmtId="49" fontId="6" fillId="0" borderId="21" xfId="148" applyNumberFormat="1" applyFont="1" applyBorder="1" applyAlignment="1">
      <alignment horizontal="center" vertical="center" wrapText="1"/>
      <protection/>
    </xf>
    <xf numFmtId="49" fontId="6" fillId="0" borderId="38" xfId="148" applyNumberFormat="1" applyFont="1" applyBorder="1" applyAlignment="1">
      <alignment horizontal="center" vertical="center" wrapText="1"/>
      <protection/>
    </xf>
    <xf numFmtId="49" fontId="6" fillId="0" borderId="23" xfId="148" applyNumberFormat="1" applyFont="1" applyBorder="1" applyAlignment="1">
      <alignment horizontal="center" vertical="center" wrapText="1"/>
      <protection/>
    </xf>
    <xf numFmtId="49" fontId="30" fillId="0" borderId="0" xfId="148" applyNumberFormat="1" applyFont="1" applyBorder="1" applyAlignment="1">
      <alignment horizontal="left" wrapText="1"/>
      <protection/>
    </xf>
    <xf numFmtId="49" fontId="18" fillId="0" borderId="22" xfId="148" applyNumberFormat="1" applyFont="1" applyBorder="1" applyAlignment="1">
      <alignment horizontal="left"/>
      <protection/>
    </xf>
    <xf numFmtId="49" fontId="6" fillId="0" borderId="40" xfId="148" applyNumberFormat="1" applyFont="1" applyBorder="1" applyAlignment="1">
      <alignment horizontal="center" vertical="center" wrapText="1"/>
      <protection/>
    </xf>
    <xf numFmtId="49" fontId="19" fillId="0" borderId="0" xfId="148" applyNumberFormat="1" applyFont="1" applyAlignment="1">
      <alignment horizontal="center"/>
      <protection/>
    </xf>
    <xf numFmtId="49" fontId="7" fillId="0" borderId="0" xfId="148" applyNumberFormat="1" applyFont="1" applyAlignment="1">
      <alignment horizontal="left"/>
      <protection/>
    </xf>
    <xf numFmtId="49" fontId="13" fillId="0" borderId="0" xfId="148" applyNumberFormat="1" applyFont="1" applyBorder="1" applyAlignment="1">
      <alignment horizontal="left"/>
      <protection/>
    </xf>
    <xf numFmtId="49" fontId="7" fillId="0" borderId="26" xfId="148" applyNumberFormat="1" applyFont="1" applyBorder="1" applyAlignment="1">
      <alignment horizontal="center" vertical="center" wrapText="1"/>
      <protection/>
    </xf>
    <xf numFmtId="49" fontId="7" fillId="0" borderId="25" xfId="148" applyNumberFormat="1" applyFont="1" applyBorder="1" applyAlignment="1">
      <alignment horizontal="center" vertical="center" wrapText="1"/>
      <protection/>
    </xf>
    <xf numFmtId="49" fontId="4" fillId="0" borderId="0" xfId="148" applyNumberFormat="1" applyFont="1" applyAlignment="1">
      <alignment/>
      <protection/>
    </xf>
    <xf numFmtId="49" fontId="0" fillId="0" borderId="0" xfId="148" applyNumberFormat="1" applyFont="1" applyBorder="1" applyAlignment="1">
      <alignment horizontal="left"/>
      <protection/>
    </xf>
    <xf numFmtId="49" fontId="19" fillId="0" borderId="26" xfId="148" applyNumberFormat="1" applyFont="1" applyBorder="1" applyAlignment="1">
      <alignment horizontal="center" vertical="center" wrapText="1"/>
      <protection/>
    </xf>
    <xf numFmtId="49" fontId="19" fillId="0" borderId="25" xfId="148" applyNumberFormat="1" applyFont="1" applyBorder="1" applyAlignment="1">
      <alignment horizontal="center" vertical="center" wrapText="1"/>
      <protection/>
    </xf>
    <xf numFmtId="49" fontId="89" fillId="3" borderId="26" xfId="148" applyNumberFormat="1" applyFont="1" applyFill="1" applyBorder="1" applyAlignment="1">
      <alignment horizontal="center" vertical="center" wrapText="1"/>
      <protection/>
    </xf>
    <xf numFmtId="49" fontId="89" fillId="3" borderId="25" xfId="148" applyNumberFormat="1" applyFont="1" applyFill="1" applyBorder="1" applyAlignment="1">
      <alignment horizontal="center" vertical="center" wrapText="1"/>
      <protection/>
    </xf>
    <xf numFmtId="49" fontId="88" fillId="3" borderId="26" xfId="148" applyNumberFormat="1" applyFont="1" applyFill="1" applyBorder="1" applyAlignment="1">
      <alignment horizontal="center" vertical="center" wrapText="1"/>
      <protection/>
    </xf>
    <xf numFmtId="49" fontId="88" fillId="3" borderId="25" xfId="148" applyNumberFormat="1" applyFont="1" applyFill="1" applyBorder="1" applyAlignment="1">
      <alignment horizontal="center" vertical="center" wrapText="1"/>
      <protection/>
    </xf>
    <xf numFmtId="49" fontId="6" fillId="0" borderId="27" xfId="148" applyNumberFormat="1" applyFont="1" applyFill="1" applyBorder="1" applyAlignment="1">
      <alignment horizontal="center" vertical="center" wrapText="1"/>
      <protection/>
    </xf>
    <xf numFmtId="49" fontId="6" fillId="0" borderId="37" xfId="148" applyNumberFormat="1" applyFont="1" applyFill="1" applyBorder="1" applyAlignment="1">
      <alignment horizontal="center" vertical="center" wrapText="1"/>
      <protection/>
    </xf>
    <xf numFmtId="49" fontId="89" fillId="3" borderId="26" xfId="148" applyNumberFormat="1" applyFont="1" applyFill="1" applyBorder="1" applyAlignment="1">
      <alignment horizontal="center" vertical="center"/>
      <protection/>
    </xf>
    <xf numFmtId="49" fontId="89" fillId="3" borderId="25" xfId="148" applyNumberFormat="1" applyFont="1" applyFill="1" applyBorder="1" applyAlignment="1">
      <alignment horizontal="center" vertical="center"/>
      <protection/>
    </xf>
    <xf numFmtId="49" fontId="6" fillId="47" borderId="26" xfId="148" applyNumberFormat="1" applyFont="1" applyFill="1" applyBorder="1" applyAlignment="1">
      <alignment horizontal="center" vertical="center"/>
      <protection/>
    </xf>
    <xf numFmtId="49" fontId="6" fillId="47" borderId="25" xfId="148" applyNumberFormat="1" applyFont="1" applyFill="1" applyBorder="1" applyAlignment="1">
      <alignment horizontal="center" vertical="center"/>
      <protection/>
    </xf>
    <xf numFmtId="49" fontId="19" fillId="0" borderId="26" xfId="148" applyNumberFormat="1" applyFont="1" applyFill="1" applyBorder="1" applyAlignment="1">
      <alignment horizontal="center" vertical="center"/>
      <protection/>
    </xf>
    <xf numFmtId="49" fontId="19" fillId="0" borderId="25" xfId="148" applyNumberFormat="1" applyFont="1" applyFill="1" applyBorder="1" applyAlignment="1">
      <alignment horizontal="center" vertical="center"/>
      <protection/>
    </xf>
    <xf numFmtId="49" fontId="28" fillId="0" borderId="0" xfId="148" applyNumberFormat="1" applyFont="1" applyAlignment="1">
      <alignment horizontal="center"/>
      <protection/>
    </xf>
    <xf numFmtId="0" fontId="81" fillId="0" borderId="40" xfId="148" applyFont="1" applyFill="1" applyBorder="1" applyAlignment="1">
      <alignment horizontal="center" vertical="center" wrapText="1"/>
      <protection/>
    </xf>
    <xf numFmtId="0" fontId="81" fillId="0" borderId="25" xfId="148" applyFont="1" applyFill="1" applyBorder="1" applyAlignment="1">
      <alignment horizontal="center" vertical="center" wrapText="1"/>
      <protection/>
    </xf>
    <xf numFmtId="49" fontId="6" fillId="0" borderId="40" xfId="148" applyNumberFormat="1" applyFont="1" applyFill="1" applyBorder="1" applyAlignment="1">
      <alignment horizontal="center" vertical="center" wrapText="1"/>
      <protection/>
    </xf>
    <xf numFmtId="49" fontId="88" fillId="3" borderId="26" xfId="148" applyNumberFormat="1" applyFont="1" applyFill="1" applyBorder="1" applyAlignment="1">
      <alignment horizontal="center" vertical="center"/>
      <protection/>
    </xf>
    <xf numFmtId="49" fontId="88" fillId="3" borderId="25" xfId="148" applyNumberFormat="1" applyFont="1" applyFill="1" applyBorder="1" applyAlignment="1">
      <alignment horizontal="center" vertical="center"/>
      <protection/>
    </xf>
    <xf numFmtId="49" fontId="13" fillId="0" borderId="22" xfId="148" applyNumberFormat="1" applyFont="1" applyFill="1" applyBorder="1" applyAlignment="1">
      <alignment horizontal="center" vertical="center"/>
      <protection/>
    </xf>
    <xf numFmtId="49" fontId="6" fillId="0" borderId="35" xfId="148" applyNumberFormat="1" applyFont="1" applyFill="1" applyBorder="1" applyAlignment="1">
      <alignment horizontal="center" vertical="center" wrapText="1"/>
      <protection/>
    </xf>
    <xf numFmtId="49" fontId="6" fillId="0" borderId="36" xfId="148" applyNumberFormat="1" applyFont="1" applyFill="1" applyBorder="1" applyAlignment="1">
      <alignment horizontal="center" vertical="center" wrapText="1"/>
      <protection/>
    </xf>
    <xf numFmtId="49" fontId="6" fillId="0" borderId="24" xfId="148" applyNumberFormat="1" applyFont="1" applyFill="1" applyBorder="1" applyAlignment="1">
      <alignment horizontal="center" vertical="center" wrapText="1"/>
      <protection/>
    </xf>
    <xf numFmtId="49" fontId="6" fillId="0" borderId="39" xfId="148" applyNumberFormat="1" applyFont="1" applyFill="1" applyBorder="1" applyAlignment="1">
      <alignment horizontal="center" vertical="center" wrapText="1"/>
      <protection/>
    </xf>
    <xf numFmtId="49" fontId="0" fillId="0" borderId="0" xfId="148" applyNumberFormat="1" applyFont="1" applyFill="1" applyAlignment="1">
      <alignment horizontal="left"/>
      <protection/>
    </xf>
    <xf numFmtId="49" fontId="18" fillId="0" borderId="0" xfId="148" applyNumberFormat="1" applyFont="1" applyFill="1" applyBorder="1" applyAlignment="1">
      <alignment horizontal="left"/>
      <protection/>
    </xf>
    <xf numFmtId="0" fontId="25" fillId="0" borderId="0" xfId="148" applyFont="1" applyAlignment="1">
      <alignment horizontal="center"/>
      <protection/>
    </xf>
    <xf numFmtId="0" fontId="7" fillId="0" borderId="20" xfId="148" applyFont="1" applyFill="1" applyBorder="1" applyAlignment="1">
      <alignment horizontal="center" vertical="center" wrapText="1"/>
      <protection/>
    </xf>
    <xf numFmtId="0" fontId="28" fillId="47" borderId="0" xfId="148" applyFont="1" applyFill="1" applyBorder="1" applyAlignment="1">
      <alignment horizontal="center"/>
      <protection/>
    </xf>
    <xf numFmtId="49" fontId="7" fillId="0" borderId="35" xfId="148" applyNumberFormat="1" applyFont="1" applyFill="1" applyBorder="1" applyAlignment="1">
      <alignment horizontal="center" vertical="center"/>
      <protection/>
    </xf>
    <xf numFmtId="49" fontId="7" fillId="0" borderId="36" xfId="148" applyNumberFormat="1" applyFont="1" applyFill="1" applyBorder="1" applyAlignment="1">
      <alignment horizontal="center" vertical="center"/>
      <protection/>
    </xf>
    <xf numFmtId="49" fontId="7" fillId="0" borderId="24" xfId="148" applyNumberFormat="1" applyFont="1" applyFill="1" applyBorder="1" applyAlignment="1">
      <alignment horizontal="center" vertical="center"/>
      <protection/>
    </xf>
    <xf numFmtId="49" fontId="7" fillId="0" borderId="39" xfId="148" applyNumberFormat="1" applyFont="1" applyFill="1" applyBorder="1" applyAlignment="1">
      <alignment horizontal="center" vertical="center"/>
      <protection/>
    </xf>
    <xf numFmtId="49" fontId="7" fillId="0" borderId="27" xfId="148" applyNumberFormat="1" applyFont="1" applyFill="1" applyBorder="1" applyAlignment="1">
      <alignment horizontal="center" vertical="center"/>
      <protection/>
    </xf>
    <xf numFmtId="49" fontId="7" fillId="0" borderId="37" xfId="148" applyNumberFormat="1" applyFont="1" applyFill="1" applyBorder="1" applyAlignment="1">
      <alignment horizontal="center" vertical="center"/>
      <protection/>
    </xf>
    <xf numFmtId="0" fontId="18" fillId="0" borderId="0" xfId="148" applyFont="1" applyBorder="1" applyAlignment="1">
      <alignment horizontal="left"/>
      <protection/>
    </xf>
    <xf numFmtId="0" fontId="13" fillId="0" borderId="0" xfId="148" applyFont="1" applyAlignment="1">
      <alignment horizontal="center"/>
      <protection/>
    </xf>
    <xf numFmtId="49" fontId="30" fillId="0" borderId="0" xfId="148" applyNumberFormat="1" applyFont="1" applyBorder="1" applyAlignment="1">
      <alignment horizontal="justify" vertical="justify" wrapText="1"/>
      <protection/>
    </xf>
    <xf numFmtId="0" fontId="14" fillId="0" borderId="0" xfId="148" applyNumberFormat="1" applyFont="1" applyAlignment="1">
      <alignment horizontal="center"/>
      <protection/>
    </xf>
    <xf numFmtId="0" fontId="32" fillId="0" borderId="0" xfId="148" applyNumberFormat="1" applyFont="1" applyAlignment="1">
      <alignment horizontal="center"/>
      <protection/>
    </xf>
    <xf numFmtId="0" fontId="23" fillId="0" borderId="0" xfId="148" applyNumberFormat="1"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0"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5" fillId="0" borderId="0" xfId="0" applyNumberFormat="1" applyFont="1" applyFill="1" applyAlignment="1">
      <alignment horizontal="center"/>
    </xf>
    <xf numFmtId="0" fontId="15" fillId="47" borderId="0" xfId="0" applyNumberFormat="1" applyFont="1" applyFill="1" applyAlignment="1">
      <alignment horizontal="center"/>
    </xf>
    <xf numFmtId="0" fontId="4" fillId="47" borderId="0" xfId="0" applyNumberFormat="1" applyFont="1" applyFill="1" applyAlignment="1">
      <alignment horizontal="left"/>
    </xf>
    <xf numFmtId="0" fontId="105" fillId="0" borderId="21" xfId="0" applyFont="1" applyBorder="1" applyAlignment="1">
      <alignment horizontal="center" vertical="center" wrapText="1"/>
    </xf>
    <xf numFmtId="0" fontId="105" fillId="0" borderId="38" xfId="0" applyFont="1" applyBorder="1" applyAlignment="1">
      <alignment horizontal="center" vertical="center" wrapText="1"/>
    </xf>
    <xf numFmtId="0" fontId="105" fillId="0" borderId="23" xfId="0" applyFont="1" applyBorder="1" applyAlignment="1">
      <alignment horizontal="center" vertical="center" wrapText="1"/>
    </xf>
    <xf numFmtId="0" fontId="105" fillId="0" borderId="20" xfId="0" applyFont="1" applyBorder="1" applyAlignment="1">
      <alignment horizontal="center" vertical="center" wrapText="1"/>
    </xf>
    <xf numFmtId="0" fontId="105" fillId="0" borderId="20" xfId="0" applyFont="1" applyBorder="1" applyAlignment="1">
      <alignment horizontal="center" vertical="center"/>
    </xf>
    <xf numFmtId="49" fontId="105" fillId="47" borderId="20" xfId="0" applyNumberFormat="1" applyFont="1" applyFill="1" applyBorder="1" applyAlignment="1" applyProtection="1">
      <alignment horizontal="center" vertical="center" wrapText="1"/>
      <protection/>
    </xf>
    <xf numFmtId="49" fontId="105" fillId="47" borderId="20" xfId="0" applyNumberFormat="1" applyFont="1" applyFill="1" applyBorder="1" applyAlignment="1">
      <alignment horizontal="center" vertical="center" wrapText="1"/>
    </xf>
    <xf numFmtId="49" fontId="4" fillId="47" borderId="0" xfId="0" applyNumberFormat="1" applyFont="1" applyFill="1" applyAlignment="1">
      <alignment horizontal="left"/>
    </xf>
    <xf numFmtId="49" fontId="100" fillId="47" borderId="20" xfId="0" applyNumberFormat="1" applyFont="1" applyFill="1" applyBorder="1" applyAlignment="1">
      <alignment horizontal="center" vertical="center" wrapText="1"/>
    </xf>
    <xf numFmtId="49" fontId="100" fillId="47" borderId="21" xfId="0" applyNumberFormat="1" applyFont="1" applyFill="1" applyBorder="1" applyAlignment="1">
      <alignment horizontal="center" vertical="center" wrapText="1"/>
    </xf>
    <xf numFmtId="49" fontId="100" fillId="47" borderId="23" xfId="0" applyNumberFormat="1" applyFont="1" applyFill="1" applyBorder="1" applyAlignment="1">
      <alignment horizontal="center" vertical="center" wrapText="1"/>
    </xf>
    <xf numFmtId="0" fontId="3" fillId="47" borderId="0" xfId="0" applyNumberFormat="1" applyFont="1" applyFill="1" applyAlignment="1">
      <alignment horizontal="center"/>
    </xf>
    <xf numFmtId="0" fontId="7" fillId="47" borderId="0" xfId="0" applyNumberFormat="1" applyFont="1" applyFill="1" applyAlignment="1">
      <alignment horizontal="center" wrapText="1"/>
    </xf>
    <xf numFmtId="49" fontId="7" fillId="47" borderId="0" xfId="0" applyNumberFormat="1" applyFont="1" applyFill="1" applyAlignment="1">
      <alignment horizontal="center" wrapText="1"/>
    </xf>
    <xf numFmtId="49" fontId="3" fillId="47" borderId="0" xfId="0" applyNumberFormat="1" applyFont="1" applyFill="1" applyAlignment="1">
      <alignment horizontal="center"/>
    </xf>
    <xf numFmtId="49" fontId="118" fillId="47" borderId="26" xfId="0" applyNumberFormat="1" applyFont="1" applyFill="1" applyBorder="1" applyAlignment="1" applyProtection="1">
      <alignment horizontal="center" vertical="center" wrapText="1"/>
      <protection/>
    </xf>
    <xf numFmtId="49" fontId="118" fillId="47" borderId="25" xfId="0" applyNumberFormat="1" applyFont="1" applyFill="1" applyBorder="1" applyAlignment="1" applyProtection="1">
      <alignment horizontal="center" vertical="center" wrapText="1"/>
      <protection/>
    </xf>
    <xf numFmtId="0" fontId="23" fillId="47" borderId="0" xfId="0" applyNumberFormat="1" applyFont="1" applyFill="1" applyBorder="1" applyAlignment="1">
      <alignment horizontal="center" vertical="center"/>
    </xf>
    <xf numFmtId="49" fontId="14" fillId="47" borderId="0" xfId="0" applyNumberFormat="1" applyFont="1" applyFill="1" applyBorder="1" applyAlignment="1">
      <alignment horizontal="center" wrapText="1"/>
    </xf>
    <xf numFmtId="0" fontId="14" fillId="47" borderId="0" xfId="0" applyNumberFormat="1" applyFont="1" applyFill="1" applyBorder="1" applyAlignment="1">
      <alignment horizontal="center" vertical="center"/>
    </xf>
    <xf numFmtId="49" fontId="14" fillId="47" borderId="0" xfId="0" applyNumberFormat="1" applyFont="1" applyFill="1" applyBorder="1" applyAlignment="1">
      <alignment horizontal="center" vertical="center"/>
    </xf>
    <xf numFmtId="49" fontId="74" fillId="47" borderId="26" xfId="0" applyNumberFormat="1" applyFont="1" applyFill="1" applyBorder="1" applyAlignment="1" applyProtection="1">
      <alignment horizontal="center" vertical="center" wrapText="1"/>
      <protection/>
    </xf>
    <xf numFmtId="49" fontId="74" fillId="47" borderId="25" xfId="0" applyNumberFormat="1" applyFont="1" applyFill="1" applyBorder="1" applyAlignment="1" applyProtection="1">
      <alignment horizontal="center" vertical="center" wrapText="1"/>
      <protection/>
    </xf>
    <xf numFmtId="49" fontId="100" fillId="47" borderId="35" xfId="0" applyNumberFormat="1" applyFont="1" applyFill="1" applyBorder="1" applyAlignment="1" applyProtection="1">
      <alignment horizontal="center" vertical="center" wrapText="1"/>
      <protection/>
    </xf>
    <xf numFmtId="49" fontId="100" fillId="47" borderId="36" xfId="0" applyNumberFormat="1" applyFont="1" applyFill="1" applyBorder="1" applyAlignment="1">
      <alignment horizontal="center" vertical="center" wrapText="1"/>
    </xf>
    <xf numFmtId="49" fontId="100" fillId="47" borderId="27" xfId="0" applyNumberFormat="1" applyFont="1" applyFill="1" applyBorder="1" applyAlignment="1">
      <alignment horizontal="center" vertical="center" wrapText="1"/>
    </xf>
    <xf numFmtId="49" fontId="100" fillId="47" borderId="37" xfId="0" applyNumberFormat="1" applyFont="1" applyFill="1" applyBorder="1" applyAlignment="1">
      <alignment horizontal="center" vertical="center" wrapText="1"/>
    </xf>
    <xf numFmtId="49" fontId="100" fillId="47" borderId="38" xfId="0" applyNumberFormat="1" applyFont="1" applyFill="1" applyBorder="1" applyAlignment="1">
      <alignment horizontal="center" vertical="center" wrapText="1"/>
    </xf>
    <xf numFmtId="49" fontId="100" fillId="47" borderId="19" xfId="0" applyNumberFormat="1" applyFont="1" applyFill="1" applyBorder="1" applyAlignment="1" applyProtection="1">
      <alignment horizontal="center" vertical="center" wrapText="1"/>
      <protection/>
    </xf>
    <xf numFmtId="49" fontId="100" fillId="47" borderId="36" xfId="0" applyNumberFormat="1" applyFont="1" applyFill="1" applyBorder="1" applyAlignment="1" applyProtection="1">
      <alignment horizontal="center" vertical="center" wrapText="1"/>
      <protection/>
    </xf>
    <xf numFmtId="49" fontId="100" fillId="47" borderId="39" xfId="0" applyNumberFormat="1" applyFont="1" applyFill="1" applyBorder="1" applyAlignment="1">
      <alignment horizontal="center" vertical="center" wrapText="1"/>
    </xf>
    <xf numFmtId="49" fontId="100" fillId="47" borderId="26" xfId="0" applyNumberFormat="1" applyFont="1" applyFill="1" applyBorder="1" applyAlignment="1" applyProtection="1">
      <alignment horizontal="center" vertical="center" wrapText="1"/>
      <protection/>
    </xf>
    <xf numFmtId="49" fontId="100" fillId="47" borderId="40" xfId="0" applyNumberFormat="1" applyFont="1" applyFill="1" applyBorder="1" applyAlignment="1" applyProtection="1">
      <alignment horizontal="center" vertical="center" wrapText="1"/>
      <protection/>
    </xf>
    <xf numFmtId="49" fontId="100" fillId="47" borderId="25" xfId="0" applyNumberFormat="1" applyFont="1" applyFill="1" applyBorder="1" applyAlignment="1" applyProtection="1">
      <alignment horizontal="center" vertical="center" wrapText="1"/>
      <protection/>
    </xf>
    <xf numFmtId="49" fontId="100" fillId="47" borderId="21" xfId="0" applyNumberFormat="1" applyFont="1" applyFill="1" applyBorder="1" applyAlignment="1" applyProtection="1">
      <alignment horizontal="center" vertical="center" wrapText="1"/>
      <protection/>
    </xf>
    <xf numFmtId="0" fontId="0" fillId="47" borderId="22" xfId="0" applyNumberFormat="1" applyFont="1" applyFill="1" applyBorder="1" applyAlignment="1">
      <alignment/>
    </xf>
    <xf numFmtId="0" fontId="124" fillId="47" borderId="35" xfId="0" applyNumberFormat="1" applyFont="1" applyFill="1" applyBorder="1" applyAlignment="1">
      <alignment horizontal="center" vertical="center" wrapText="1"/>
    </xf>
    <xf numFmtId="0" fontId="124" fillId="47" borderId="36" xfId="0" applyNumberFormat="1" applyFont="1" applyFill="1" applyBorder="1" applyAlignment="1">
      <alignment horizontal="center" vertical="center" wrapText="1"/>
    </xf>
    <xf numFmtId="0" fontId="124" fillId="47" borderId="24" xfId="0" applyNumberFormat="1" applyFont="1" applyFill="1" applyBorder="1" applyAlignment="1">
      <alignment horizontal="center" vertical="center" wrapText="1"/>
    </xf>
    <xf numFmtId="0" fontId="124" fillId="47" borderId="39" xfId="0" applyNumberFormat="1" applyFont="1" applyFill="1" applyBorder="1" applyAlignment="1">
      <alignment horizontal="center" vertical="center" wrapText="1"/>
    </xf>
    <xf numFmtId="0" fontId="124" fillId="47" borderId="27" xfId="0" applyNumberFormat="1" applyFont="1" applyFill="1" applyBorder="1" applyAlignment="1">
      <alignment horizontal="center" vertical="center" wrapText="1"/>
    </xf>
    <xf numFmtId="0" fontId="124" fillId="47" borderId="37" xfId="0" applyNumberFormat="1" applyFont="1" applyFill="1" applyBorder="1" applyAlignment="1">
      <alignment horizontal="center" vertical="center" wrapText="1"/>
    </xf>
    <xf numFmtId="49" fontId="124" fillId="47" borderId="26" xfId="0" applyNumberFormat="1" applyFont="1" applyFill="1" applyBorder="1" applyAlignment="1" applyProtection="1">
      <alignment horizontal="center" vertical="center" wrapText="1"/>
      <protection/>
    </xf>
    <xf numFmtId="49" fontId="124" fillId="47" borderId="40" xfId="0" applyNumberFormat="1" applyFont="1" applyFill="1" applyBorder="1" applyAlignment="1">
      <alignment horizontal="center" vertical="center" wrapText="1"/>
    </xf>
    <xf numFmtId="49" fontId="124" fillId="47" borderId="25" xfId="0" applyNumberFormat="1" applyFont="1" applyFill="1" applyBorder="1" applyAlignment="1">
      <alignment horizontal="center" vertical="center" wrapText="1"/>
    </xf>
    <xf numFmtId="49" fontId="100" fillId="47" borderId="35" xfId="0" applyNumberFormat="1" applyFont="1" applyFill="1" applyBorder="1" applyAlignment="1">
      <alignment horizontal="center" vertical="center" wrapText="1"/>
    </xf>
    <xf numFmtId="49" fontId="100" fillId="47" borderId="24" xfId="0" applyNumberFormat="1" applyFont="1" applyFill="1" applyBorder="1" applyAlignment="1">
      <alignment horizontal="center" vertical="center" wrapText="1"/>
    </xf>
    <xf numFmtId="1" fontId="124" fillId="47" borderId="26" xfId="0" applyNumberFormat="1" applyFont="1" applyFill="1" applyBorder="1" applyAlignment="1">
      <alignment horizontal="center" vertical="center"/>
    </xf>
    <xf numFmtId="1" fontId="124" fillId="47" borderId="40" xfId="0" applyNumberFormat="1" applyFont="1" applyFill="1" applyBorder="1" applyAlignment="1">
      <alignment horizontal="center" vertical="center"/>
    </xf>
    <xf numFmtId="1" fontId="124" fillId="47" borderId="25" xfId="0" applyNumberFormat="1" applyFont="1" applyFill="1" applyBorder="1" applyAlignment="1">
      <alignment horizontal="center" vertical="center"/>
    </xf>
    <xf numFmtId="49" fontId="100" fillId="47" borderId="20" xfId="0" applyNumberFormat="1" applyFont="1" applyFill="1" applyBorder="1" applyAlignment="1" applyProtection="1">
      <alignment horizontal="center" vertical="center" wrapText="1"/>
      <protection/>
    </xf>
    <xf numFmtId="0" fontId="0" fillId="47" borderId="0" xfId="0" applyNumberFormat="1" applyFont="1" applyFill="1" applyBorder="1" applyAlignment="1">
      <alignment wrapText="1"/>
    </xf>
    <xf numFmtId="49" fontId="14" fillId="47" borderId="0" xfId="0" applyNumberFormat="1" applyFont="1" applyFill="1" applyAlignment="1">
      <alignment horizontal="center"/>
    </xf>
    <xf numFmtId="0" fontId="0" fillId="47" borderId="0" xfId="0" applyNumberFormat="1" applyFont="1" applyFill="1" applyBorder="1" applyAlignment="1">
      <alignment/>
    </xf>
    <xf numFmtId="49" fontId="0" fillId="47" borderId="0" xfId="0" applyNumberFormat="1" applyFont="1" applyFill="1" applyAlignment="1">
      <alignment horizontal="left"/>
    </xf>
    <xf numFmtId="49" fontId="14" fillId="47" borderId="0" xfId="0" applyNumberFormat="1" applyFont="1" applyFill="1" applyAlignment="1">
      <alignment horizontal="center" wrapText="1"/>
    </xf>
    <xf numFmtId="3" fontId="15" fillId="47" borderId="0" xfId="0" applyNumberFormat="1" applyFont="1" applyFill="1" applyAlignment="1">
      <alignment horizontal="center"/>
    </xf>
    <xf numFmtId="49" fontId="120" fillId="47" borderId="20" xfId="0" applyNumberFormat="1" applyFont="1" applyFill="1" applyBorder="1" applyAlignment="1" applyProtection="1">
      <alignment horizontal="center" vertical="center" wrapText="1"/>
      <protection/>
    </xf>
    <xf numFmtId="49" fontId="107" fillId="47" borderId="21" xfId="0" applyNumberFormat="1" applyFont="1" applyFill="1" applyBorder="1" applyAlignment="1" applyProtection="1">
      <alignment horizontal="center" vertical="center" wrapText="1"/>
      <protection/>
    </xf>
    <xf numFmtId="49" fontId="107" fillId="47" borderId="38" xfId="0" applyNumberFormat="1" applyFont="1" applyFill="1" applyBorder="1" applyAlignment="1" applyProtection="1">
      <alignment horizontal="center" vertical="center" wrapText="1"/>
      <protection/>
    </xf>
    <xf numFmtId="49" fontId="107" fillId="47" borderId="23" xfId="0" applyNumberFormat="1" applyFont="1" applyFill="1" applyBorder="1" applyAlignment="1" applyProtection="1">
      <alignment horizontal="center" vertical="center" wrapText="1"/>
      <protection/>
    </xf>
    <xf numFmtId="49" fontId="106" fillId="47" borderId="25" xfId="0" applyNumberFormat="1" applyFont="1" applyFill="1" applyBorder="1" applyAlignment="1" applyProtection="1">
      <alignment horizontal="center" vertical="center" wrapText="1"/>
      <protection/>
    </xf>
    <xf numFmtId="49" fontId="106" fillId="47" borderId="35" xfId="0" applyNumberFormat="1" applyFont="1" applyFill="1" applyBorder="1" applyAlignment="1">
      <alignment horizontal="center" vertical="center" wrapText="1"/>
    </xf>
    <xf numFmtId="49" fontId="106" fillId="47" borderId="24" xfId="0" applyNumberFormat="1" applyFont="1" applyFill="1" applyBorder="1" applyAlignment="1">
      <alignment horizontal="center" vertical="center" wrapText="1"/>
    </xf>
    <xf numFmtId="49" fontId="106" fillId="47" borderId="27" xfId="0" applyNumberFormat="1" applyFont="1" applyFill="1" applyBorder="1" applyAlignment="1">
      <alignment horizontal="center" vertical="center" wrapText="1"/>
    </xf>
    <xf numFmtId="0" fontId="14" fillId="47" borderId="0" xfId="0" applyNumberFormat="1" applyFont="1" applyFill="1" applyBorder="1" applyAlignment="1">
      <alignment horizontal="center" wrapText="1"/>
    </xf>
    <xf numFmtId="49" fontId="107" fillId="47" borderId="20" xfId="0" applyNumberFormat="1" applyFont="1" applyFill="1" applyBorder="1" applyAlignment="1" applyProtection="1">
      <alignment horizontal="center" vertical="center" wrapText="1"/>
      <protection/>
    </xf>
    <xf numFmtId="49" fontId="107" fillId="47" borderId="20" xfId="0" applyNumberFormat="1" applyFont="1" applyFill="1" applyBorder="1" applyAlignment="1">
      <alignment horizontal="center" vertical="center" wrapText="1"/>
    </xf>
    <xf numFmtId="49" fontId="106" fillId="47" borderId="21" xfId="0" applyNumberFormat="1" applyFont="1" applyFill="1" applyBorder="1" applyAlignment="1">
      <alignment horizontal="center" vertical="center" wrapText="1"/>
    </xf>
    <xf numFmtId="49" fontId="106" fillId="47" borderId="23" xfId="0" applyNumberFormat="1" applyFont="1" applyFill="1" applyBorder="1" applyAlignment="1">
      <alignment horizontal="center" vertical="center" wrapText="1"/>
    </xf>
    <xf numFmtId="0" fontId="112" fillId="47" borderId="20" xfId="0" applyNumberFormat="1" applyFont="1" applyFill="1" applyBorder="1" applyAlignment="1">
      <alignment horizontal="center" vertical="center" wrapText="1"/>
    </xf>
    <xf numFmtId="49" fontId="106" fillId="47" borderId="20" xfId="0" applyNumberFormat="1" applyFont="1" applyFill="1" applyBorder="1" applyAlignment="1" applyProtection="1">
      <alignment horizontal="center" vertical="center" wrapText="1"/>
      <protection/>
    </xf>
    <xf numFmtId="49" fontId="106" fillId="47" borderId="38" xfId="0" applyNumberFormat="1" applyFont="1" applyFill="1" applyBorder="1" applyAlignment="1">
      <alignment horizontal="center" vertical="center" wrapText="1"/>
    </xf>
    <xf numFmtId="49" fontId="119" fillId="47" borderId="20" xfId="0" applyNumberFormat="1" applyFont="1" applyFill="1" applyBorder="1" applyAlignment="1" applyProtection="1">
      <alignment horizontal="center" vertical="center" wrapText="1"/>
      <protection/>
    </xf>
    <xf numFmtId="49" fontId="106" fillId="47" borderId="21" xfId="0" applyNumberFormat="1" applyFont="1" applyFill="1" applyBorder="1" applyAlignment="1" applyProtection="1">
      <alignment horizontal="center" vertical="center" wrapText="1"/>
      <protection/>
    </xf>
    <xf numFmtId="0" fontId="104" fillId="0" borderId="20" xfId="0" applyFont="1" applyBorder="1" applyAlignment="1">
      <alignment horizontal="center" vertical="center" wrapText="1"/>
    </xf>
    <xf numFmtId="49" fontId="106" fillId="47" borderId="36" xfId="0" applyNumberFormat="1" applyFont="1" applyFill="1" applyBorder="1" applyAlignment="1">
      <alignment horizontal="center" vertical="center" wrapText="1"/>
    </xf>
    <xf numFmtId="49" fontId="106" fillId="47" borderId="39" xfId="0" applyNumberFormat="1" applyFont="1" applyFill="1" applyBorder="1" applyAlignment="1">
      <alignment horizontal="center" vertical="center" wrapText="1"/>
    </xf>
    <xf numFmtId="49" fontId="106" fillId="47" borderId="37" xfId="0" applyNumberFormat="1" applyFont="1" applyFill="1" applyBorder="1" applyAlignment="1">
      <alignment horizontal="center" vertical="center" wrapText="1"/>
    </xf>
    <xf numFmtId="0" fontId="104" fillId="0" borderId="20" xfId="0" applyFont="1" applyBorder="1" applyAlignment="1">
      <alignment horizontal="center" vertical="center"/>
    </xf>
    <xf numFmtId="0" fontId="104" fillId="0" borderId="21" xfId="0" applyFont="1" applyBorder="1" applyAlignment="1">
      <alignment horizontal="center" vertical="center" wrapText="1"/>
    </xf>
    <xf numFmtId="0" fontId="104" fillId="0" borderId="38" xfId="0" applyFont="1" applyBorder="1" applyAlignment="1">
      <alignment horizontal="center" vertical="center" wrapText="1"/>
    </xf>
    <xf numFmtId="0" fontId="104" fillId="0" borderId="23" xfId="0" applyFont="1" applyBorder="1" applyAlignment="1">
      <alignment horizontal="center" vertical="center" wrapText="1"/>
    </xf>
    <xf numFmtId="49" fontId="0" fillId="47" borderId="0" xfId="0" applyNumberFormat="1" applyFont="1" applyFill="1" applyBorder="1" applyAlignment="1">
      <alignment/>
    </xf>
    <xf numFmtId="49" fontId="106" fillId="47" borderId="26" xfId="0" applyNumberFormat="1" applyFont="1" applyFill="1" applyBorder="1" applyAlignment="1" applyProtection="1">
      <alignment horizontal="center" vertical="center" wrapText="1"/>
      <protection/>
    </xf>
    <xf numFmtId="49" fontId="106" fillId="47" borderId="40" xfId="0" applyNumberFormat="1" applyFont="1" applyFill="1" applyBorder="1" applyAlignment="1" applyProtection="1">
      <alignment horizontal="center" vertical="center" wrapText="1"/>
      <protection/>
    </xf>
    <xf numFmtId="49" fontId="0" fillId="47" borderId="0" xfId="0" applyNumberFormat="1" applyFont="1" applyFill="1" applyBorder="1" applyAlignment="1">
      <alignment wrapText="1"/>
    </xf>
    <xf numFmtId="49" fontId="18" fillId="47" borderId="22" xfId="0" applyNumberFormat="1" applyFont="1" applyFill="1" applyBorder="1" applyAlignment="1">
      <alignment/>
    </xf>
    <xf numFmtId="49" fontId="106" fillId="47" borderId="35" xfId="0" applyNumberFormat="1" applyFont="1" applyFill="1" applyBorder="1" applyAlignment="1" applyProtection="1">
      <alignment horizontal="center" vertical="center" wrapText="1"/>
      <protection/>
    </xf>
    <xf numFmtId="49" fontId="106" fillId="47" borderId="19" xfId="0" applyNumberFormat="1" applyFont="1" applyFill="1" applyBorder="1" applyAlignment="1" applyProtection="1">
      <alignment horizontal="center" vertical="center" wrapText="1"/>
      <protection/>
    </xf>
    <xf numFmtId="49" fontId="106" fillId="47" borderId="36" xfId="0" applyNumberFormat="1" applyFont="1" applyFill="1" applyBorder="1" applyAlignment="1" applyProtection="1">
      <alignment horizontal="center" vertical="center" wrapText="1"/>
      <protection/>
    </xf>
    <xf numFmtId="49" fontId="106" fillId="47" borderId="20" xfId="0" applyNumberFormat="1" applyFont="1" applyFill="1" applyBorder="1" applyAlignment="1">
      <alignment horizontal="center" vertical="center" wrapText="1"/>
    </xf>
    <xf numFmtId="49" fontId="112" fillId="47" borderId="26" xfId="0" applyNumberFormat="1" applyFont="1" applyFill="1" applyBorder="1" applyAlignment="1" applyProtection="1">
      <alignment horizontal="center" vertical="center" wrapText="1"/>
      <protection/>
    </xf>
    <xf numFmtId="49" fontId="112" fillId="47" borderId="40" xfId="0" applyNumberFormat="1" applyFont="1" applyFill="1" applyBorder="1" applyAlignment="1">
      <alignment horizontal="center" vertical="center" wrapText="1"/>
    </xf>
    <xf numFmtId="49" fontId="112" fillId="47" borderId="25" xfId="0" applyNumberFormat="1" applyFont="1" applyFill="1" applyBorder="1" applyAlignment="1">
      <alignment horizontal="center" vertical="center" wrapText="1"/>
    </xf>
    <xf numFmtId="1" fontId="112" fillId="47" borderId="26" xfId="0" applyNumberFormat="1" applyFont="1" applyFill="1" applyBorder="1" applyAlignment="1">
      <alignment horizontal="center" vertical="center"/>
    </xf>
    <xf numFmtId="1" fontId="112" fillId="47" borderId="40" xfId="0" applyNumberFormat="1" applyFont="1" applyFill="1" applyBorder="1" applyAlignment="1">
      <alignment horizontal="center" vertical="center"/>
    </xf>
    <xf numFmtId="1" fontId="112" fillId="47" borderId="25" xfId="0" applyNumberFormat="1" applyFont="1" applyFill="1" applyBorder="1" applyAlignment="1">
      <alignment horizontal="center" vertical="center"/>
    </xf>
    <xf numFmtId="49" fontId="110" fillId="0" borderId="20" xfId="0" applyNumberFormat="1" applyFont="1" applyFill="1" applyBorder="1" applyAlignment="1" applyProtection="1">
      <alignment horizontal="center" vertical="center" wrapText="1"/>
      <protection/>
    </xf>
    <xf numFmtId="49" fontId="100" fillId="0" borderId="20" xfId="0" applyNumberFormat="1" applyFont="1" applyFill="1" applyBorder="1" applyAlignment="1" applyProtection="1">
      <alignment horizontal="center" vertical="center" wrapText="1"/>
      <protection/>
    </xf>
    <xf numFmtId="49" fontId="7" fillId="0" borderId="0" xfId="0" applyNumberFormat="1" applyFont="1" applyFill="1" applyBorder="1" applyAlignment="1">
      <alignment horizontal="left" wrapText="1"/>
    </xf>
    <xf numFmtId="49" fontId="100" fillId="0" borderId="20" xfId="0" applyNumberFormat="1" applyFont="1" applyFill="1" applyBorder="1" applyAlignment="1">
      <alignment horizontal="center" vertical="center" wrapText="1"/>
    </xf>
    <xf numFmtId="49" fontId="4" fillId="0" borderId="0" xfId="0" applyNumberFormat="1" applyFont="1" applyFill="1" applyAlignment="1">
      <alignment horizontal="left"/>
    </xf>
    <xf numFmtId="0" fontId="100" fillId="0" borderId="20" xfId="0" applyNumberFormat="1" applyFont="1" applyFill="1" applyBorder="1" applyAlignment="1">
      <alignment horizontal="center" vertical="center" wrapText="1"/>
    </xf>
    <xf numFmtId="0" fontId="7" fillId="0" borderId="0" xfId="0" applyNumberFormat="1" applyFont="1" applyFill="1" applyBorder="1" applyAlignment="1">
      <alignment horizontal="left" wrapText="1"/>
    </xf>
    <xf numFmtId="1" fontId="100" fillId="0" borderId="20" xfId="0" applyNumberFormat="1" applyFont="1" applyFill="1" applyBorder="1" applyAlignment="1">
      <alignment horizontal="center" vertical="center"/>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49" fontId="123" fillId="47"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wrapText="1"/>
    </xf>
    <xf numFmtId="0" fontId="25" fillId="0" borderId="0" xfId="0" applyNumberFormat="1" applyFont="1" applyFill="1" applyBorder="1" applyAlignment="1">
      <alignment horizontal="center" wrapText="1"/>
    </xf>
    <xf numFmtId="0" fontId="30" fillId="0" borderId="19" xfId="0" applyNumberFormat="1" applyFont="1" applyFill="1" applyBorder="1" applyAlignment="1">
      <alignment horizontal="center" vertical="center"/>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49" fontId="104" fillId="47" borderId="20"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106" fillId="0"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49" fontId="106" fillId="0" borderId="20" xfId="0" applyNumberFormat="1" applyFont="1" applyFill="1" applyBorder="1" applyAlignment="1">
      <alignment horizontal="center" vertical="center" wrapText="1"/>
    </xf>
    <xf numFmtId="1" fontId="106" fillId="0" borderId="20" xfId="0" applyNumberFormat="1" applyFont="1" applyFill="1" applyBorder="1" applyAlignment="1">
      <alignment horizontal="center" vertical="center"/>
    </xf>
    <xf numFmtId="0" fontId="106" fillId="0" borderId="20" xfId="0" applyNumberFormat="1" applyFont="1" applyFill="1" applyBorder="1" applyAlignment="1">
      <alignment horizontal="center" vertical="center" wrapText="1"/>
    </xf>
    <xf numFmtId="49" fontId="108" fillId="0" borderId="43" xfId="0" applyNumberFormat="1" applyFont="1" applyFill="1" applyBorder="1" applyAlignment="1" applyProtection="1">
      <alignment horizontal="center" vertical="center" wrapText="1"/>
      <protection/>
    </xf>
    <xf numFmtId="49" fontId="108" fillId="0" borderId="21" xfId="0" applyNumberFormat="1" applyFont="1" applyFill="1" applyBorder="1" applyAlignment="1" applyProtection="1">
      <alignment horizontal="center" vertical="center" wrapText="1"/>
      <protection/>
    </xf>
  </cellXfs>
  <cellStyles count="15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Currency 2" xfId="105"/>
    <cellStyle name="Explanatory Text" xfId="106"/>
    <cellStyle name="Explanatory Text 2" xfId="107"/>
    <cellStyle name="Explanatory Text 3" xfId="108"/>
    <cellStyle name="Followed Hyperlink" xfId="109"/>
    <cellStyle name="Good" xfId="110"/>
    <cellStyle name="Good 2" xfId="111"/>
    <cellStyle name="Good 3" xfId="112"/>
    <cellStyle name="Heading 1" xfId="113"/>
    <cellStyle name="Heading 1 2" xfId="114"/>
    <cellStyle name="Heading 1 3" xfId="115"/>
    <cellStyle name="Heading 2" xfId="116"/>
    <cellStyle name="Heading 2 2" xfId="117"/>
    <cellStyle name="Heading 2 3" xfId="118"/>
    <cellStyle name="Heading 3" xfId="119"/>
    <cellStyle name="Heading 3 2" xfId="120"/>
    <cellStyle name="Heading 3 3" xfId="121"/>
    <cellStyle name="Heading 4" xfId="122"/>
    <cellStyle name="Heading 4 2" xfId="123"/>
    <cellStyle name="Heading 4 3" xfId="124"/>
    <cellStyle name="Hyperlink" xfId="125"/>
    <cellStyle name="Input" xfId="126"/>
    <cellStyle name="Input 2" xfId="127"/>
    <cellStyle name="Input 3" xfId="128"/>
    <cellStyle name="Linked Cell" xfId="129"/>
    <cellStyle name="Linked Cell 2" xfId="130"/>
    <cellStyle name="Linked Cell 3" xfId="131"/>
    <cellStyle name="Neutral" xfId="132"/>
    <cellStyle name="Neutral 2" xfId="133"/>
    <cellStyle name="Neutral 3" xfId="134"/>
    <cellStyle name="Normal 2" xfId="135"/>
    <cellStyle name="Normal 2 2" xfId="136"/>
    <cellStyle name="Normal 2 3" xfId="137"/>
    <cellStyle name="Normal 3" xfId="138"/>
    <cellStyle name="Normal 3 2" xfId="139"/>
    <cellStyle name="Normal 4" xfId="140"/>
    <cellStyle name="Normal 4 2" xfId="141"/>
    <cellStyle name="Normal 5" xfId="142"/>
    <cellStyle name="Normal 6" xfId="143"/>
    <cellStyle name="Normal_1. (Goc) THONG KE TT01 Toàn tỉnh Hoa Binh 6 tháng 2013" xfId="144"/>
    <cellStyle name="Normal_1. (Goc) THONG KE TT01 Toàn tỉnh Hoa Binh 6 tháng 2013 2" xfId="145"/>
    <cellStyle name="Normal_19 bieu m nhapcong thuc da sao 11 don vi " xfId="146"/>
    <cellStyle name="Normal_Bieu 8 - Bieu 19 toan tinh" xfId="147"/>
    <cellStyle name="Normal_Bieu mau TK tu 11 den 19 (ban phat hanh)" xfId="148"/>
    <cellStyle name="Note" xfId="149"/>
    <cellStyle name="Note 2" xfId="150"/>
    <cellStyle name="Note 3" xfId="151"/>
    <cellStyle name="Output" xfId="152"/>
    <cellStyle name="Output 2" xfId="153"/>
    <cellStyle name="Output 3" xfId="154"/>
    <cellStyle name="Percent" xfId="155"/>
    <cellStyle name="Percent 2" xfId="156"/>
    <cellStyle name="Percent 2 2" xfId="157"/>
    <cellStyle name="Percent 2 3" xfId="158"/>
    <cellStyle name="Percent 3" xfId="159"/>
    <cellStyle name="Percent 4" xfId="160"/>
    <cellStyle name="Percent 5" xfId="161"/>
    <cellStyle name="Title" xfId="162"/>
    <cellStyle name="Title 2" xfId="163"/>
    <cellStyle name="Title 3" xfId="164"/>
    <cellStyle name="Total" xfId="165"/>
    <cellStyle name="Total 2" xfId="166"/>
    <cellStyle name="Total 3" xfId="167"/>
    <cellStyle name="Warning Text" xfId="168"/>
    <cellStyle name="Warning Text 2" xfId="169"/>
    <cellStyle name="Warning Text 3" xfId="1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93345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93345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6477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6477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478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478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71" t="s">
        <v>26</v>
      </c>
      <c r="B1" s="571"/>
      <c r="C1" s="568" t="s">
        <v>74</v>
      </c>
      <c r="D1" s="568"/>
      <c r="E1" s="568"/>
      <c r="F1" s="572" t="s">
        <v>70</v>
      </c>
      <c r="G1" s="572"/>
      <c r="H1" s="572"/>
    </row>
    <row r="2" spans="1:8" ht="33.75" customHeight="1">
      <c r="A2" s="573" t="s">
        <v>77</v>
      </c>
      <c r="B2" s="573"/>
      <c r="C2" s="568"/>
      <c r="D2" s="568"/>
      <c r="E2" s="568"/>
      <c r="F2" s="565" t="s">
        <v>71</v>
      </c>
      <c r="G2" s="565"/>
      <c r="H2" s="565"/>
    </row>
    <row r="3" spans="1:8" ht="19.5" customHeight="1">
      <c r="A3" s="6" t="s">
        <v>65</v>
      </c>
      <c r="B3" s="6"/>
      <c r="C3" s="24"/>
      <c r="D3" s="24"/>
      <c r="E3" s="24"/>
      <c r="F3" s="565" t="s">
        <v>72</v>
      </c>
      <c r="G3" s="565"/>
      <c r="H3" s="565"/>
    </row>
    <row r="4" spans="1:8" s="7" customFormat="1" ht="19.5" customHeight="1">
      <c r="A4" s="6"/>
      <c r="B4" s="6"/>
      <c r="D4" s="8"/>
      <c r="F4" s="9" t="s">
        <v>73</v>
      </c>
      <c r="G4" s="9"/>
      <c r="H4" s="9"/>
    </row>
    <row r="5" spans="1:8" s="23" customFormat="1" ht="36" customHeight="1">
      <c r="A5" s="584" t="s">
        <v>57</v>
      </c>
      <c r="B5" s="585"/>
      <c r="C5" s="588" t="s">
        <v>68</v>
      </c>
      <c r="D5" s="589"/>
      <c r="E5" s="590" t="s">
        <v>67</v>
      </c>
      <c r="F5" s="590"/>
      <c r="G5" s="590"/>
      <c r="H5" s="567"/>
    </row>
    <row r="6" spans="1:8" s="23" customFormat="1" ht="20.25" customHeight="1">
      <c r="A6" s="586"/>
      <c r="B6" s="587"/>
      <c r="C6" s="569" t="s">
        <v>3</v>
      </c>
      <c r="D6" s="569" t="s">
        <v>75</v>
      </c>
      <c r="E6" s="566" t="s">
        <v>69</v>
      </c>
      <c r="F6" s="567"/>
      <c r="G6" s="566" t="s">
        <v>76</v>
      </c>
      <c r="H6" s="567"/>
    </row>
    <row r="7" spans="1:8" s="23" customFormat="1" ht="52.5" customHeight="1">
      <c r="A7" s="586"/>
      <c r="B7" s="587"/>
      <c r="C7" s="570"/>
      <c r="D7" s="570"/>
      <c r="E7" s="5" t="s">
        <v>3</v>
      </c>
      <c r="F7" s="5" t="s">
        <v>9</v>
      </c>
      <c r="G7" s="5" t="s">
        <v>3</v>
      </c>
      <c r="H7" s="5" t="s">
        <v>9</v>
      </c>
    </row>
    <row r="8" spans="1:8" ht="15" customHeight="1">
      <c r="A8" s="575" t="s">
        <v>6</v>
      </c>
      <c r="B8" s="576"/>
      <c r="C8" s="10">
        <v>1</v>
      </c>
      <c r="D8" s="10" t="s">
        <v>44</v>
      </c>
      <c r="E8" s="10" t="s">
        <v>49</v>
      </c>
      <c r="F8" s="10" t="s">
        <v>58</v>
      </c>
      <c r="G8" s="10" t="s">
        <v>59</v>
      </c>
      <c r="H8" s="10" t="s">
        <v>60</v>
      </c>
    </row>
    <row r="9" spans="1:8" ht="26.25" customHeight="1">
      <c r="A9" s="577" t="s">
        <v>33</v>
      </c>
      <c r="B9" s="578"/>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9" t="s">
        <v>56</v>
      </c>
      <c r="C16" s="579"/>
      <c r="D16" s="26"/>
      <c r="E16" s="581" t="s">
        <v>19</v>
      </c>
      <c r="F16" s="581"/>
      <c r="G16" s="581"/>
      <c r="H16" s="581"/>
    </row>
    <row r="17" spans="2:8" ht="15.75" customHeight="1">
      <c r="B17" s="579"/>
      <c r="C17" s="579"/>
      <c r="D17" s="26"/>
      <c r="E17" s="582" t="s">
        <v>38</v>
      </c>
      <c r="F17" s="582"/>
      <c r="G17" s="582"/>
      <c r="H17" s="582"/>
    </row>
    <row r="18" spans="2:8" s="27" customFormat="1" ht="15.75" customHeight="1">
      <c r="B18" s="579"/>
      <c r="C18" s="579"/>
      <c r="D18" s="28"/>
      <c r="E18" s="583" t="s">
        <v>55</v>
      </c>
      <c r="F18" s="583"/>
      <c r="G18" s="583"/>
      <c r="H18" s="583"/>
    </row>
    <row r="20" ht="15.75">
      <c r="B20" s="19"/>
    </row>
    <row r="22" ht="15.75" hidden="1">
      <c r="A22" s="20" t="s">
        <v>41</v>
      </c>
    </row>
    <row r="23" spans="1:3" ht="15.75" hidden="1">
      <c r="A23" s="21"/>
      <c r="B23" s="580" t="s">
        <v>50</v>
      </c>
      <c r="C23" s="580"/>
    </row>
    <row r="24" spans="1:8" ht="15.75" customHeight="1" hidden="1">
      <c r="A24" s="22" t="s">
        <v>25</v>
      </c>
      <c r="B24" s="574" t="s">
        <v>53</v>
      </c>
      <c r="C24" s="574"/>
      <c r="D24" s="22"/>
      <c r="E24" s="22"/>
      <c r="F24" s="22"/>
      <c r="G24" s="22"/>
      <c r="H24" s="22"/>
    </row>
    <row r="25" spans="1:8" ht="15" customHeight="1" hidden="1">
      <c r="A25" s="22"/>
      <c r="B25" s="574" t="s">
        <v>54</v>
      </c>
      <c r="C25" s="574"/>
      <c r="D25" s="574"/>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67" t="s">
        <v>230</v>
      </c>
      <c r="B1" s="767"/>
      <c r="C1" s="767"/>
      <c r="D1" s="770" t="s">
        <v>342</v>
      </c>
      <c r="E1" s="770"/>
      <c r="F1" s="770"/>
      <c r="G1" s="770"/>
      <c r="H1" s="770"/>
      <c r="I1" s="770"/>
      <c r="J1" s="191" t="s">
        <v>343</v>
      </c>
      <c r="K1" s="322"/>
      <c r="L1" s="322"/>
    </row>
    <row r="2" spans="1:12" ht="18.75" customHeight="1">
      <c r="A2" s="768" t="s">
        <v>301</v>
      </c>
      <c r="B2" s="768"/>
      <c r="C2" s="768"/>
      <c r="D2" s="857" t="s">
        <v>231</v>
      </c>
      <c r="E2" s="857"/>
      <c r="F2" s="857"/>
      <c r="G2" s="857"/>
      <c r="H2" s="857"/>
      <c r="I2" s="857"/>
      <c r="J2" s="767" t="s">
        <v>344</v>
      </c>
      <c r="K2" s="767"/>
      <c r="L2" s="767"/>
    </row>
    <row r="3" spans="1:12" ht="17.25">
      <c r="A3" s="768" t="s">
        <v>253</v>
      </c>
      <c r="B3" s="768"/>
      <c r="C3" s="768"/>
      <c r="D3" s="858" t="s">
        <v>345</v>
      </c>
      <c r="E3" s="859"/>
      <c r="F3" s="859"/>
      <c r="G3" s="859"/>
      <c r="H3" s="859"/>
      <c r="I3" s="859"/>
      <c r="J3" s="194" t="s">
        <v>361</v>
      </c>
      <c r="K3" s="194"/>
      <c r="L3" s="194"/>
    </row>
    <row r="4" spans="1:12" ht="15.75">
      <c r="A4" s="854" t="s">
        <v>346</v>
      </c>
      <c r="B4" s="854"/>
      <c r="C4" s="854"/>
      <c r="D4" s="855"/>
      <c r="E4" s="855"/>
      <c r="F4" s="855"/>
      <c r="G4" s="855"/>
      <c r="H4" s="855"/>
      <c r="I4" s="855"/>
      <c r="J4" s="773" t="s">
        <v>303</v>
      </c>
      <c r="K4" s="773"/>
      <c r="L4" s="773"/>
    </row>
    <row r="5" spans="1:13" ht="15.75">
      <c r="A5" s="324"/>
      <c r="B5" s="324"/>
      <c r="C5" s="325"/>
      <c r="D5" s="325"/>
      <c r="E5" s="193"/>
      <c r="J5" s="326" t="s">
        <v>347</v>
      </c>
      <c r="K5" s="241"/>
      <c r="L5" s="241"/>
      <c r="M5" s="241"/>
    </row>
    <row r="6" spans="1:13" s="329" customFormat="1" ht="24.75" customHeight="1">
      <c r="A6" s="848" t="s">
        <v>57</v>
      </c>
      <c r="B6" s="849"/>
      <c r="C6" s="846" t="s">
        <v>348</v>
      </c>
      <c r="D6" s="846"/>
      <c r="E6" s="846"/>
      <c r="F6" s="846"/>
      <c r="G6" s="846"/>
      <c r="H6" s="846"/>
      <c r="I6" s="846" t="s">
        <v>232</v>
      </c>
      <c r="J6" s="846"/>
      <c r="K6" s="846"/>
      <c r="L6" s="846"/>
      <c r="M6" s="328"/>
    </row>
    <row r="7" spans="1:13" s="329" customFormat="1" ht="17.25" customHeight="1">
      <c r="A7" s="850"/>
      <c r="B7" s="851"/>
      <c r="C7" s="846" t="s">
        <v>31</v>
      </c>
      <c r="D7" s="846"/>
      <c r="E7" s="846" t="s">
        <v>7</v>
      </c>
      <c r="F7" s="846"/>
      <c r="G7" s="846"/>
      <c r="H7" s="846"/>
      <c r="I7" s="846" t="s">
        <v>233</v>
      </c>
      <c r="J7" s="846"/>
      <c r="K7" s="846" t="s">
        <v>234</v>
      </c>
      <c r="L7" s="846"/>
      <c r="M7" s="328"/>
    </row>
    <row r="8" spans="1:12" s="329" customFormat="1" ht="27.75" customHeight="1">
      <c r="A8" s="850"/>
      <c r="B8" s="851"/>
      <c r="C8" s="846"/>
      <c r="D8" s="846"/>
      <c r="E8" s="846" t="s">
        <v>235</v>
      </c>
      <c r="F8" s="846"/>
      <c r="G8" s="846" t="s">
        <v>236</v>
      </c>
      <c r="H8" s="846"/>
      <c r="I8" s="846"/>
      <c r="J8" s="846"/>
      <c r="K8" s="846"/>
      <c r="L8" s="846"/>
    </row>
    <row r="9" spans="1:12" s="329" customFormat="1" ht="24.75" customHeight="1">
      <c r="A9" s="852"/>
      <c r="B9" s="853"/>
      <c r="C9" s="327" t="s">
        <v>237</v>
      </c>
      <c r="D9" s="327" t="s">
        <v>9</v>
      </c>
      <c r="E9" s="327" t="s">
        <v>3</v>
      </c>
      <c r="F9" s="327" t="s">
        <v>238</v>
      </c>
      <c r="G9" s="327" t="s">
        <v>3</v>
      </c>
      <c r="H9" s="327" t="s">
        <v>238</v>
      </c>
      <c r="I9" s="327" t="s">
        <v>3</v>
      </c>
      <c r="J9" s="327" t="s">
        <v>238</v>
      </c>
      <c r="K9" s="327" t="s">
        <v>3</v>
      </c>
      <c r="L9" s="327" t="s">
        <v>238</v>
      </c>
    </row>
    <row r="10" spans="1:12" s="331" customFormat="1" ht="15.75">
      <c r="A10" s="752" t="s">
        <v>6</v>
      </c>
      <c r="B10" s="753"/>
      <c r="C10" s="330">
        <v>1</v>
      </c>
      <c r="D10" s="330">
        <v>2</v>
      </c>
      <c r="E10" s="330">
        <v>3</v>
      </c>
      <c r="F10" s="330">
        <v>4</v>
      </c>
      <c r="G10" s="330">
        <v>5</v>
      </c>
      <c r="H10" s="330">
        <v>6</v>
      </c>
      <c r="I10" s="330">
        <v>7</v>
      </c>
      <c r="J10" s="330">
        <v>8</v>
      </c>
      <c r="K10" s="330">
        <v>9</v>
      </c>
      <c r="L10" s="330">
        <v>10</v>
      </c>
    </row>
    <row r="11" spans="1:12" s="331" customFormat="1" ht="30.75" customHeight="1">
      <c r="A11" s="764" t="s">
        <v>298</v>
      </c>
      <c r="B11" s="765"/>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43" t="s">
        <v>299</v>
      </c>
      <c r="B12" s="744"/>
      <c r="C12" s="249">
        <v>0</v>
      </c>
      <c r="D12" s="249">
        <v>0</v>
      </c>
      <c r="E12" s="249">
        <v>0</v>
      </c>
      <c r="F12" s="249">
        <v>0</v>
      </c>
      <c r="G12" s="249">
        <v>0</v>
      </c>
      <c r="H12" s="249">
        <v>0</v>
      </c>
      <c r="I12" s="249">
        <v>0</v>
      </c>
      <c r="J12" s="249">
        <v>0</v>
      </c>
      <c r="K12" s="249">
        <v>0</v>
      </c>
      <c r="L12" s="249">
        <v>0</v>
      </c>
    </row>
    <row r="13" spans="1:32" s="331" customFormat="1" ht="17.25" customHeight="1">
      <c r="A13" s="746" t="s">
        <v>30</v>
      </c>
      <c r="B13" s="747"/>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268</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300</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271</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272</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273</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274</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279</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281</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282</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283</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285</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62" t="s">
        <v>286</v>
      </c>
      <c r="C28" s="762"/>
      <c r="D28" s="762"/>
      <c r="E28" s="204"/>
      <c r="F28" s="258"/>
      <c r="G28" s="258"/>
      <c r="H28" s="761" t="s">
        <v>286</v>
      </c>
      <c r="I28" s="761"/>
      <c r="J28" s="761"/>
      <c r="K28" s="761"/>
      <c r="L28" s="761"/>
      <c r="AG28" s="192" t="s">
        <v>287</v>
      </c>
      <c r="AI28" s="190">
        <f>82/88</f>
        <v>0.9318181818181818</v>
      </c>
    </row>
    <row r="29" spans="1:12" s="192" customFormat="1" ht="19.5" customHeight="1">
      <c r="A29" s="202"/>
      <c r="B29" s="763" t="s">
        <v>239</v>
      </c>
      <c r="C29" s="763"/>
      <c r="D29" s="763"/>
      <c r="E29" s="204"/>
      <c r="F29" s="205"/>
      <c r="G29" s="205"/>
      <c r="H29" s="766" t="s">
        <v>157</v>
      </c>
      <c r="I29" s="766"/>
      <c r="J29" s="766"/>
      <c r="K29" s="766"/>
      <c r="L29" s="766"/>
    </row>
    <row r="30" spans="1:12" s="196" customFormat="1" ht="15" customHeight="1">
      <c r="A30" s="202"/>
      <c r="B30" s="847"/>
      <c r="C30" s="847"/>
      <c r="D30" s="847"/>
      <c r="E30" s="204"/>
      <c r="F30" s="205"/>
      <c r="G30" s="205"/>
      <c r="H30" s="719"/>
      <c r="I30" s="719"/>
      <c r="J30" s="719"/>
      <c r="K30" s="719"/>
      <c r="L30" s="719"/>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45" t="s">
        <v>290</v>
      </c>
      <c r="C33" s="845"/>
      <c r="D33" s="845"/>
      <c r="E33" s="336"/>
      <c r="F33" s="336"/>
      <c r="G33" s="336"/>
      <c r="H33" s="336"/>
      <c r="I33" s="336"/>
      <c r="J33" s="337" t="s">
        <v>290</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56" t="s">
        <v>240</v>
      </c>
      <c r="C37" s="856"/>
      <c r="D37" s="856"/>
      <c r="E37" s="856"/>
      <c r="F37" s="856"/>
      <c r="G37" s="856"/>
      <c r="H37" s="856"/>
      <c r="I37" s="856"/>
      <c r="J37" s="856"/>
      <c r="K37" s="339"/>
      <c r="L37" s="294"/>
      <c r="M37" s="265"/>
      <c r="N37" s="265"/>
      <c r="O37" s="265"/>
    </row>
    <row r="38" spans="2:12" s="184" customFormat="1" ht="18.75" hidden="1">
      <c r="B38" s="236" t="s">
        <v>241</v>
      </c>
      <c r="C38" s="186"/>
      <c r="D38" s="186"/>
      <c r="E38" s="186"/>
      <c r="F38" s="186"/>
      <c r="G38" s="186"/>
      <c r="H38" s="186"/>
      <c r="I38" s="186"/>
      <c r="J38" s="186"/>
      <c r="K38" s="338"/>
      <c r="L38" s="186"/>
    </row>
    <row r="39" spans="2:12" ht="18.75" hidden="1">
      <c r="B39" s="340" t="s">
        <v>242</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91" t="s">
        <v>332</v>
      </c>
      <c r="C41" s="591"/>
      <c r="D41" s="591"/>
      <c r="E41" s="210"/>
      <c r="F41" s="210"/>
      <c r="G41" s="182"/>
      <c r="H41" s="592" t="s">
        <v>247</v>
      </c>
      <c r="I41" s="592"/>
      <c r="J41" s="592"/>
      <c r="K41" s="592"/>
      <c r="L41" s="592"/>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60" t="s">
        <v>374</v>
      </c>
      <c r="M1" s="861"/>
      <c r="N1" s="861"/>
      <c r="O1" s="365"/>
      <c r="P1" s="365"/>
      <c r="Q1" s="365"/>
      <c r="R1" s="365"/>
      <c r="S1" s="365"/>
      <c r="T1" s="365"/>
      <c r="U1" s="365"/>
      <c r="V1" s="365"/>
      <c r="W1" s="365"/>
      <c r="X1" s="365"/>
      <c r="Y1" s="366"/>
    </row>
    <row r="2" spans="11:17" ht="34.5" customHeight="1">
      <c r="K2" s="349"/>
      <c r="L2" s="862" t="s">
        <v>381</v>
      </c>
      <c r="M2" s="863"/>
      <c r="N2" s="864"/>
      <c r="O2" s="29"/>
      <c r="P2" s="351"/>
      <c r="Q2" s="347"/>
    </row>
    <row r="3" spans="11:18" ht="31.5" customHeight="1">
      <c r="K3" s="349"/>
      <c r="L3" s="354" t="s">
        <v>390</v>
      </c>
      <c r="M3" s="355" t="e">
        <f>#REF!</f>
        <v>#REF!</v>
      </c>
      <c r="N3" s="355"/>
      <c r="O3" s="355"/>
      <c r="P3" s="352"/>
      <c r="Q3" s="348"/>
      <c r="R3" s="345"/>
    </row>
    <row r="4" spans="11:18" ht="30" customHeight="1">
      <c r="K4" s="349"/>
      <c r="L4" s="356" t="s">
        <v>375</v>
      </c>
      <c r="M4" s="357" t="e">
        <f>#REF!</f>
        <v>#REF!</v>
      </c>
      <c r="N4" s="355"/>
      <c r="O4" s="355"/>
      <c r="P4" s="352"/>
      <c r="Q4" s="348"/>
      <c r="R4" s="345"/>
    </row>
    <row r="5" spans="11:18" ht="31.5" customHeight="1">
      <c r="K5" s="349"/>
      <c r="L5" s="356" t="s">
        <v>376</v>
      </c>
      <c r="M5" s="357" t="e">
        <f>#REF!</f>
        <v>#REF!</v>
      </c>
      <c r="N5" s="355"/>
      <c r="O5" s="355"/>
      <c r="P5" s="352"/>
      <c r="Q5" s="348"/>
      <c r="R5" s="345"/>
    </row>
    <row r="6" spans="11:18" ht="27" customHeight="1">
      <c r="K6" s="349"/>
      <c r="L6" s="354" t="s">
        <v>377</v>
      </c>
      <c r="M6" s="355" t="e">
        <f>#REF!</f>
        <v>#REF!</v>
      </c>
      <c r="N6" s="355"/>
      <c r="O6" s="355"/>
      <c r="P6" s="352"/>
      <c r="Q6" s="348"/>
      <c r="R6" s="345"/>
    </row>
    <row r="7" spans="11:18" s="342" customFormat="1" ht="30" customHeight="1">
      <c r="K7" s="350"/>
      <c r="L7" s="358" t="s">
        <v>392</v>
      </c>
      <c r="M7" s="355" t="e">
        <f>#REF!</f>
        <v>#REF!</v>
      </c>
      <c r="N7" s="355"/>
      <c r="O7" s="355"/>
      <c r="P7" s="352"/>
      <c r="Q7" s="348"/>
      <c r="R7" s="345"/>
    </row>
    <row r="8" spans="11:18" ht="30.75" customHeight="1">
      <c r="K8" s="349"/>
      <c r="L8" s="359" t="s">
        <v>391</v>
      </c>
      <c r="M8" s="360">
        <f>'[7]M6 Tong hop Viec CHV '!$C$12</f>
        <v>1489</v>
      </c>
      <c r="N8" s="355"/>
      <c r="O8" s="355"/>
      <c r="P8" s="352"/>
      <c r="Q8" s="348"/>
      <c r="R8" s="345"/>
    </row>
    <row r="9" spans="11:18" ht="33" customHeight="1">
      <c r="K9" s="349"/>
      <c r="L9" s="367" t="s">
        <v>394</v>
      </c>
      <c r="M9" s="368" t="e">
        <f>(M7-M8)/M8</f>
        <v>#REF!</v>
      </c>
      <c r="N9" s="355"/>
      <c r="O9" s="355"/>
      <c r="P9" s="352"/>
      <c r="Q9" s="348"/>
      <c r="R9" s="345"/>
    </row>
    <row r="10" spans="11:18" ht="33" customHeight="1">
      <c r="K10" s="349"/>
      <c r="L10" s="354" t="s">
        <v>393</v>
      </c>
      <c r="M10" s="355" t="e">
        <f>#REF!</f>
        <v>#REF!</v>
      </c>
      <c r="N10" s="355" t="s">
        <v>378</v>
      </c>
      <c r="O10" s="361" t="e">
        <f>M10/M7</f>
        <v>#REF!</v>
      </c>
      <c r="P10" s="352"/>
      <c r="Q10" s="348"/>
      <c r="R10" s="345"/>
    </row>
    <row r="11" spans="11:18" ht="22.5" customHeight="1">
      <c r="K11" s="349"/>
      <c r="L11" s="354" t="s">
        <v>395</v>
      </c>
      <c r="M11" s="355" t="e">
        <f>#REF!</f>
        <v>#REF!</v>
      </c>
      <c r="N11" s="355" t="s">
        <v>378</v>
      </c>
      <c r="O11" s="361" t="e">
        <f>M11/M7</f>
        <v>#REF!</v>
      </c>
      <c r="P11" s="352"/>
      <c r="Q11" s="348"/>
      <c r="R11" s="345"/>
    </row>
    <row r="12" spans="11:18" ht="34.5" customHeight="1">
      <c r="K12" s="349"/>
      <c r="L12" s="354" t="s">
        <v>396</v>
      </c>
      <c r="M12" s="355" t="e">
        <f>#REF!+#REF!</f>
        <v>#REF!</v>
      </c>
      <c r="N12" s="354"/>
      <c r="O12" s="354"/>
      <c r="P12" s="346"/>
      <c r="R12" s="346"/>
    </row>
    <row r="13" spans="11:18" ht="33.75" customHeight="1">
      <c r="K13" s="349"/>
      <c r="L13" s="354" t="s">
        <v>397</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398</v>
      </c>
      <c r="M16" s="360">
        <f>'[7]M6 Tong hop Viec CHV '!$H$12+'[7]M6 Tong hop Viec CHV '!$I$12+'[7]M6 Tong hop Viec CHV '!$K$12</f>
        <v>749</v>
      </c>
      <c r="N16" s="355"/>
      <c r="O16" s="355"/>
      <c r="P16" s="352"/>
      <c r="R16" s="346"/>
    </row>
    <row r="17" spans="11:18" ht="24.75" customHeight="1">
      <c r="K17" s="349"/>
      <c r="L17" s="367" t="s">
        <v>399</v>
      </c>
      <c r="M17" s="362">
        <f>M16/M8</f>
        <v>0.5030221625251847</v>
      </c>
      <c r="N17" s="355"/>
      <c r="O17" s="355"/>
      <c r="P17" s="352"/>
      <c r="R17" s="346"/>
    </row>
    <row r="18" spans="11:18" ht="26.25" customHeight="1">
      <c r="K18" s="349"/>
      <c r="L18" s="367" t="s">
        <v>379</v>
      </c>
      <c r="M18" s="368" t="e">
        <f>M13-M17</f>
        <v>#REF!</v>
      </c>
      <c r="N18" s="355"/>
      <c r="O18" s="355"/>
      <c r="P18" s="352"/>
      <c r="R18" s="346"/>
    </row>
    <row r="19" spans="11:18" ht="24.75" customHeight="1">
      <c r="K19" s="349"/>
      <c r="L19" s="354" t="s">
        <v>400</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401</v>
      </c>
      <c r="M26" s="361" t="e">
        <f>M19/#REF!</f>
        <v>#REF!</v>
      </c>
      <c r="N26" s="355"/>
      <c r="O26" s="355"/>
      <c r="P26" s="352"/>
      <c r="R26" s="346"/>
    </row>
    <row r="27" spans="11:18" ht="24.75" customHeight="1">
      <c r="K27" s="349"/>
      <c r="L27" s="359" t="s">
        <v>402</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403</v>
      </c>
      <c r="M30" s="361" t="e">
        <f>M26-M27</f>
        <v>#REF!</v>
      </c>
      <c r="N30" s="355"/>
      <c r="O30" s="355"/>
      <c r="P30" s="352"/>
      <c r="R30" s="346"/>
    </row>
    <row r="31" spans="11:18" ht="24.75" customHeight="1">
      <c r="K31" s="349"/>
      <c r="L31" s="354" t="s">
        <v>404</v>
      </c>
      <c r="M31" s="355" t="e">
        <f>#REF!</f>
        <v>#REF!</v>
      </c>
      <c r="N31" s="355"/>
      <c r="O31" s="355"/>
      <c r="P31" s="352"/>
      <c r="R31" s="346"/>
    </row>
    <row r="32" spans="11:18" ht="24.75" customHeight="1">
      <c r="K32" s="349"/>
      <c r="L32" s="359" t="s">
        <v>405</v>
      </c>
      <c r="M32" s="360">
        <f>'[7]M6 Tong hop Viec CHV '!$R$12</f>
        <v>719</v>
      </c>
      <c r="N32" s="355"/>
      <c r="O32" s="355"/>
      <c r="P32" s="352"/>
      <c r="R32" s="346"/>
    </row>
    <row r="33" spans="11:18" ht="24.75" customHeight="1">
      <c r="K33" s="349"/>
      <c r="L33" s="367" t="s">
        <v>406</v>
      </c>
      <c r="M33" s="369" t="e">
        <f>M31-M32</f>
        <v>#REF!</v>
      </c>
      <c r="N33" s="369" t="s">
        <v>380</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382</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407</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376</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408</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409</v>
      </c>
      <c r="M50" s="355" t="e">
        <f>#REF!</f>
        <v>#REF!</v>
      </c>
      <c r="N50" s="355"/>
      <c r="O50" s="355"/>
      <c r="P50" s="346"/>
      <c r="R50" s="346"/>
    </row>
    <row r="51" spans="11:18" ht="24.75" customHeight="1">
      <c r="K51" s="349"/>
      <c r="L51" s="364" t="s">
        <v>410</v>
      </c>
      <c r="M51" s="360">
        <f>'[7]M7 Thop tien CHV'!$C$12</f>
        <v>54227822.442</v>
      </c>
      <c r="N51" s="355"/>
      <c r="O51" s="355"/>
      <c r="P51" s="346"/>
      <c r="R51" s="346"/>
    </row>
    <row r="52" spans="11:18" ht="24.75" customHeight="1">
      <c r="K52" s="349"/>
      <c r="L52" s="377" t="s">
        <v>383</v>
      </c>
      <c r="M52" s="369" t="e">
        <f>M50-M51</f>
        <v>#REF!</v>
      </c>
      <c r="N52" s="355"/>
      <c r="O52" s="355"/>
      <c r="P52" s="346"/>
      <c r="R52" s="346"/>
    </row>
    <row r="53" spans="11:18" ht="24.75" customHeight="1">
      <c r="K53" s="349"/>
      <c r="L53" s="377" t="s">
        <v>384</v>
      </c>
      <c r="M53" s="368" t="e">
        <f>(M52/M51)</f>
        <v>#REF!</v>
      </c>
      <c r="N53" s="355"/>
      <c r="O53" s="355"/>
      <c r="P53" s="346"/>
      <c r="R53" s="346"/>
    </row>
    <row r="54" spans="11:18" ht="24.75" customHeight="1">
      <c r="K54" s="349"/>
      <c r="L54" s="363" t="s">
        <v>411</v>
      </c>
      <c r="M54" s="355" t="e">
        <f>#REF!</f>
        <v>#REF!</v>
      </c>
      <c r="N54" s="355" t="s">
        <v>385</v>
      </c>
      <c r="O54" s="361" t="e">
        <f>#REF!/#REF!</f>
        <v>#REF!</v>
      </c>
      <c r="P54" s="346"/>
      <c r="R54" s="346"/>
    </row>
    <row r="55" spans="11:18" ht="24.75" customHeight="1">
      <c r="K55" s="349"/>
      <c r="L55" s="363" t="s">
        <v>412</v>
      </c>
      <c r="M55" s="355" t="e">
        <f>#REF!</f>
        <v>#REF!</v>
      </c>
      <c r="N55" s="355" t="s">
        <v>385</v>
      </c>
      <c r="O55" s="361" t="e">
        <f>#REF!/#REF!</f>
        <v>#REF!</v>
      </c>
      <c r="P55" s="346"/>
      <c r="R55" s="346"/>
    </row>
    <row r="56" spans="11:18" ht="24.75" customHeight="1">
      <c r="K56" s="349"/>
      <c r="L56" s="363" t="s">
        <v>413</v>
      </c>
      <c r="M56" s="355" t="e">
        <f>#REF!+#REF!+#REF!</f>
        <v>#REF!</v>
      </c>
      <c r="N56" s="355" t="s">
        <v>385</v>
      </c>
      <c r="O56" s="361" t="e">
        <f>M56/#REF!</f>
        <v>#REF!</v>
      </c>
      <c r="P56" s="346"/>
      <c r="R56" s="346"/>
    </row>
    <row r="57" spans="11:18" ht="24.75" customHeight="1">
      <c r="K57" s="349"/>
      <c r="L57" s="364" t="s">
        <v>414</v>
      </c>
      <c r="M57" s="360">
        <f>'[7]M7 Thop tien CHV'!$H$12+'[7]M7 Thop tien CHV'!$I$12+'[7]M7 Thop tien CHV'!$K$12</f>
        <v>2217726.5</v>
      </c>
      <c r="N57" s="360" t="s">
        <v>385</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415</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416</v>
      </c>
      <c r="M63" s="355" t="e">
        <f>#REF!</f>
        <v>#REF!</v>
      </c>
      <c r="N63" s="355" t="s">
        <v>386</v>
      </c>
      <c r="O63" s="361" t="e">
        <f>#REF!/#REF!</f>
        <v>#REF!</v>
      </c>
      <c r="P63" s="346"/>
      <c r="R63" s="346"/>
    </row>
    <row r="64" spans="11:16" ht="24.75" customHeight="1">
      <c r="K64" s="349"/>
      <c r="L64" s="364" t="s">
        <v>417</v>
      </c>
      <c r="M64" s="360">
        <f>'[7]M7 Thop tien CHV'!$H$12</f>
        <v>2212774.5</v>
      </c>
      <c r="N64" s="360" t="s">
        <v>387</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418</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419</v>
      </c>
      <c r="M72" s="355" t="e">
        <f>#REF!</f>
        <v>#REF!</v>
      </c>
      <c r="N72" s="355"/>
      <c r="O72" s="355"/>
      <c r="P72" s="346"/>
    </row>
    <row r="73" spans="11:16" ht="24.75" customHeight="1">
      <c r="K73" s="349"/>
      <c r="L73" s="364" t="s">
        <v>420</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388</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389</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16" sqref="B16"/>
    </sheetView>
  </sheetViews>
  <sheetFormatPr defaultColWidth="9.00390625" defaultRowHeight="15.75"/>
  <cols>
    <col min="1" max="1" width="23.50390625" style="0" customWidth="1"/>
    <col min="2" max="2" width="66.125" style="0" customWidth="1"/>
  </cols>
  <sheetData>
    <row r="2" spans="1:2" ht="62.25" customHeight="1">
      <c r="A2" s="865" t="s">
        <v>429</v>
      </c>
      <c r="B2" s="865"/>
    </row>
    <row r="3" spans="1:2" ht="22.5" customHeight="1">
      <c r="A3" s="383" t="s">
        <v>422</v>
      </c>
      <c r="B3" s="393" t="s">
        <v>562</v>
      </c>
    </row>
    <row r="4" spans="1:2" ht="22.5" customHeight="1">
      <c r="A4" s="383" t="s">
        <v>421</v>
      </c>
      <c r="B4" s="384" t="s">
        <v>431</v>
      </c>
    </row>
    <row r="5" spans="1:2" ht="22.5" customHeight="1">
      <c r="A5" s="383" t="s">
        <v>423</v>
      </c>
      <c r="B5" s="391" t="s">
        <v>432</v>
      </c>
    </row>
    <row r="6" spans="1:2" ht="22.5" customHeight="1">
      <c r="A6" s="383" t="s">
        <v>424</v>
      </c>
      <c r="B6" s="391" t="s">
        <v>433</v>
      </c>
    </row>
    <row r="7" spans="1:2" ht="22.5" customHeight="1">
      <c r="A7" s="383" t="s">
        <v>425</v>
      </c>
      <c r="B7" s="391" t="s">
        <v>434</v>
      </c>
    </row>
    <row r="8" spans="1:2" ht="15.75">
      <c r="A8" s="385" t="s">
        <v>426</v>
      </c>
      <c r="B8" s="392" t="s">
        <v>563</v>
      </c>
    </row>
    <row r="10" spans="1:2" ht="62.25" customHeight="1">
      <c r="A10" s="866" t="s">
        <v>430</v>
      </c>
      <c r="B10" s="866"/>
    </row>
    <row r="11" spans="1:2" ht="15.75">
      <c r="A11" s="867"/>
      <c r="B11" s="867"/>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X34"/>
  <sheetViews>
    <sheetView view="pageBreakPreview" zoomScale="110" zoomScaleNormal="80" zoomScaleSheetLayoutView="110" zoomScalePageLayoutView="0" workbookViewId="0" topLeftCell="A2">
      <pane xSplit="3" ySplit="11" topLeftCell="D13" activePane="bottomRight" state="frozen"/>
      <selection pane="topLeft" activeCell="A2" sqref="A2"/>
      <selection pane="topRight" activeCell="D2" sqref="D2"/>
      <selection pane="bottomLeft" activeCell="A13" sqref="A13"/>
      <selection pane="bottomRight" activeCell="E24" sqref="E24"/>
    </sheetView>
  </sheetViews>
  <sheetFormatPr defaultColWidth="9.00390625" defaultRowHeight="15.75"/>
  <cols>
    <col min="1" max="1" width="4.75390625" style="0" customWidth="1"/>
    <col min="2" max="2" width="7.50390625" style="0" customWidth="1"/>
    <col min="3" max="3" width="5.125" style="0" customWidth="1"/>
    <col min="4" max="4" width="5.375" style="0" customWidth="1"/>
    <col min="5" max="5" width="5.125" style="0" customWidth="1"/>
    <col min="6" max="6" width="4.00390625" style="0" customWidth="1"/>
    <col min="7" max="7" width="5.00390625" style="0" customWidth="1"/>
    <col min="8" max="8" width="4.625" style="0" customWidth="1"/>
    <col min="9" max="9" width="4.50390625" style="0" customWidth="1"/>
    <col min="10" max="10" width="5.50390625" style="0" customWidth="1"/>
    <col min="11" max="11" width="4.625" style="0" customWidth="1"/>
    <col min="12" max="12" width="5.50390625" style="0" customWidth="1"/>
    <col min="13" max="13" width="4.875" style="0" customWidth="1"/>
    <col min="14" max="15" width="4.625" style="0" customWidth="1"/>
    <col min="16" max="16" width="4.375" style="0" customWidth="1"/>
    <col min="17" max="17" width="4.875" style="0" customWidth="1"/>
    <col min="18" max="18" width="5.00390625" style="0" customWidth="1"/>
    <col min="19" max="19" width="5.375" style="0" customWidth="1"/>
    <col min="20" max="20" width="4.25390625" style="0" customWidth="1"/>
    <col min="21" max="21" width="5.00390625" style="0" customWidth="1"/>
    <col min="22" max="22" width="4.875" style="0" customWidth="1"/>
    <col min="23" max="23" width="5.875" style="0" customWidth="1"/>
    <col min="24" max="24" width="4.875" style="0" customWidth="1"/>
  </cols>
  <sheetData>
    <row r="1" spans="1:24" ht="15.75">
      <c r="A1" s="394"/>
      <c r="B1" s="394"/>
      <c r="C1" s="394"/>
      <c r="D1" s="394"/>
      <c r="E1" s="394"/>
      <c r="F1" s="394"/>
      <c r="G1" s="394"/>
      <c r="H1" s="394"/>
      <c r="I1" s="394"/>
      <c r="J1" s="394"/>
      <c r="K1" s="394"/>
      <c r="L1" s="394"/>
      <c r="M1" s="394"/>
      <c r="N1" s="394"/>
      <c r="O1" s="394"/>
      <c r="P1" s="394"/>
      <c r="Q1" s="394"/>
      <c r="R1" s="394"/>
      <c r="S1" s="394"/>
      <c r="T1" s="394"/>
      <c r="U1" s="394"/>
      <c r="V1" s="394"/>
      <c r="W1" s="394"/>
      <c r="X1" s="394"/>
    </row>
    <row r="2" spans="1:24" ht="16.5">
      <c r="A2" s="395" t="s">
        <v>537</v>
      </c>
      <c r="B2" s="395"/>
      <c r="C2" s="395"/>
      <c r="D2" s="394"/>
      <c r="E2" s="923" t="s">
        <v>66</v>
      </c>
      <c r="F2" s="923"/>
      <c r="G2" s="923"/>
      <c r="H2" s="923"/>
      <c r="I2" s="923"/>
      <c r="J2" s="923"/>
      <c r="K2" s="923"/>
      <c r="L2" s="923"/>
      <c r="M2" s="923"/>
      <c r="N2" s="923"/>
      <c r="O2" s="923"/>
      <c r="P2" s="924" t="s">
        <v>427</v>
      </c>
      <c r="Q2" s="924"/>
      <c r="R2" s="924"/>
      <c r="S2" s="924"/>
      <c r="T2" s="448"/>
      <c r="U2" s="448"/>
      <c r="V2" s="448"/>
      <c r="W2" s="448"/>
      <c r="X2" s="448"/>
    </row>
    <row r="3" spans="1:24" ht="16.5">
      <c r="A3" s="925" t="s">
        <v>243</v>
      </c>
      <c r="B3" s="925"/>
      <c r="C3" s="925"/>
      <c r="D3" s="925"/>
      <c r="E3" s="926" t="s">
        <v>34</v>
      </c>
      <c r="F3" s="926"/>
      <c r="G3" s="926"/>
      <c r="H3" s="926"/>
      <c r="I3" s="926"/>
      <c r="J3" s="926"/>
      <c r="K3" s="926"/>
      <c r="L3" s="926"/>
      <c r="M3" s="926"/>
      <c r="N3" s="926"/>
      <c r="O3" s="926"/>
      <c r="P3" s="922" t="str">
        <f>'Thong tin'!B4</f>
        <v>CTHADS TRÀ VINH</v>
      </c>
      <c r="Q3" s="922"/>
      <c r="R3" s="922"/>
      <c r="S3" s="922"/>
      <c r="T3" s="447"/>
      <c r="U3" s="447"/>
      <c r="V3" s="447"/>
      <c r="W3" s="447"/>
      <c r="X3" s="447"/>
    </row>
    <row r="4" spans="1:24" ht="16.5">
      <c r="A4" s="925" t="s">
        <v>244</v>
      </c>
      <c r="B4" s="925"/>
      <c r="C4" s="925"/>
      <c r="D4" s="925"/>
      <c r="E4" s="927" t="str">
        <f>'Thong tin'!B3</f>
        <v>02 tháng / năm 2018</v>
      </c>
      <c r="F4" s="927"/>
      <c r="G4" s="927"/>
      <c r="H4" s="927"/>
      <c r="I4" s="927"/>
      <c r="J4" s="927"/>
      <c r="K4" s="927"/>
      <c r="L4" s="927"/>
      <c r="M4" s="927"/>
      <c r="N4" s="927"/>
      <c r="O4" s="927"/>
      <c r="P4" s="924" t="s">
        <v>445</v>
      </c>
      <c r="Q4" s="924"/>
      <c r="R4" s="924"/>
      <c r="S4" s="924"/>
      <c r="T4" s="448"/>
      <c r="U4" s="448"/>
      <c r="V4" s="448"/>
      <c r="W4" s="448"/>
      <c r="X4" s="448"/>
    </row>
    <row r="5" spans="1:24" ht="15.75">
      <c r="A5" s="395" t="s">
        <v>535</v>
      </c>
      <c r="B5" s="395"/>
      <c r="C5" s="395"/>
      <c r="D5" s="395"/>
      <c r="E5" s="395"/>
      <c r="F5" s="395"/>
      <c r="G5" s="395"/>
      <c r="H5" s="395"/>
      <c r="I5" s="395"/>
      <c r="J5" s="395"/>
      <c r="K5" s="395"/>
      <c r="L5" s="395"/>
      <c r="M5" s="395"/>
      <c r="N5" s="429"/>
      <c r="O5" s="429"/>
      <c r="P5" s="922" t="s">
        <v>534</v>
      </c>
      <c r="Q5" s="922"/>
      <c r="R5" s="922"/>
      <c r="S5" s="922"/>
      <c r="T5" s="447"/>
      <c r="U5" s="447"/>
      <c r="V5" s="447"/>
      <c r="W5" s="447"/>
      <c r="X5" s="447"/>
    </row>
    <row r="6" spans="1:24" ht="15.75">
      <c r="A6" s="394"/>
      <c r="B6" s="428"/>
      <c r="C6" s="428"/>
      <c r="D6" s="394"/>
      <c r="E6" s="394"/>
      <c r="F6" s="394"/>
      <c r="G6" s="394"/>
      <c r="H6" s="394"/>
      <c r="I6" s="394"/>
      <c r="J6" s="394"/>
      <c r="K6" s="394"/>
      <c r="L6" s="394"/>
      <c r="M6" s="394"/>
      <c r="N6" s="394"/>
      <c r="O6" s="394"/>
      <c r="P6" s="906" t="s">
        <v>8</v>
      </c>
      <c r="Q6" s="906"/>
      <c r="R6" s="906"/>
      <c r="S6" s="906"/>
      <c r="T6" s="448"/>
      <c r="U6" s="448"/>
      <c r="V6" s="448"/>
      <c r="W6" s="448"/>
      <c r="X6" s="448"/>
    </row>
    <row r="7" spans="1:24" ht="15.75" customHeight="1">
      <c r="A7" s="907" t="s">
        <v>57</v>
      </c>
      <c r="B7" s="908"/>
      <c r="C7" s="913" t="s">
        <v>124</v>
      </c>
      <c r="D7" s="914"/>
      <c r="E7" s="915"/>
      <c r="F7" s="916" t="s">
        <v>101</v>
      </c>
      <c r="G7" s="880" t="s">
        <v>125</v>
      </c>
      <c r="H7" s="918" t="s">
        <v>102</v>
      </c>
      <c r="I7" s="919"/>
      <c r="J7" s="919"/>
      <c r="K7" s="919"/>
      <c r="L7" s="919"/>
      <c r="M7" s="919"/>
      <c r="N7" s="919"/>
      <c r="O7" s="919"/>
      <c r="P7" s="919"/>
      <c r="Q7" s="920"/>
      <c r="R7" s="905" t="s">
        <v>248</v>
      </c>
      <c r="S7" s="921" t="s">
        <v>533</v>
      </c>
      <c r="T7" s="876" t="s">
        <v>556</v>
      </c>
      <c r="U7" s="874" t="s">
        <v>558</v>
      </c>
      <c r="V7" s="874" t="s">
        <v>554</v>
      </c>
      <c r="W7" s="874" t="s">
        <v>555</v>
      </c>
      <c r="X7" s="871" t="s">
        <v>559</v>
      </c>
    </row>
    <row r="8" spans="1:24" ht="15.75">
      <c r="A8" s="909"/>
      <c r="B8" s="910"/>
      <c r="C8" s="905" t="s">
        <v>42</v>
      </c>
      <c r="D8" s="894" t="s">
        <v>7</v>
      </c>
      <c r="E8" s="895"/>
      <c r="F8" s="917"/>
      <c r="G8" s="898"/>
      <c r="H8" s="880" t="s">
        <v>31</v>
      </c>
      <c r="I8" s="894" t="s">
        <v>103</v>
      </c>
      <c r="J8" s="899"/>
      <c r="K8" s="899"/>
      <c r="L8" s="899"/>
      <c r="M8" s="899"/>
      <c r="N8" s="899"/>
      <c r="O8" s="899"/>
      <c r="P8" s="900"/>
      <c r="Q8" s="895" t="s">
        <v>126</v>
      </c>
      <c r="R8" s="898"/>
      <c r="S8" s="879"/>
      <c r="T8" s="877"/>
      <c r="U8" s="875"/>
      <c r="V8" s="874"/>
      <c r="W8" s="875"/>
      <c r="X8" s="872"/>
    </row>
    <row r="9" spans="1:24" ht="15.75">
      <c r="A9" s="909"/>
      <c r="B9" s="910"/>
      <c r="C9" s="898"/>
      <c r="D9" s="896"/>
      <c r="E9" s="897"/>
      <c r="F9" s="917"/>
      <c r="G9" s="898"/>
      <c r="H9" s="898"/>
      <c r="I9" s="880" t="s">
        <v>31</v>
      </c>
      <c r="J9" s="902" t="s">
        <v>7</v>
      </c>
      <c r="K9" s="903"/>
      <c r="L9" s="903"/>
      <c r="M9" s="903"/>
      <c r="N9" s="903"/>
      <c r="O9" s="903"/>
      <c r="P9" s="904"/>
      <c r="Q9" s="901"/>
      <c r="R9" s="898"/>
      <c r="S9" s="879"/>
      <c r="T9" s="877"/>
      <c r="U9" s="875"/>
      <c r="V9" s="874"/>
      <c r="W9" s="875"/>
      <c r="X9" s="872"/>
    </row>
    <row r="10" spans="1:24" ht="15.75">
      <c r="A10" s="909"/>
      <c r="B10" s="910"/>
      <c r="C10" s="898"/>
      <c r="D10" s="905" t="s">
        <v>127</v>
      </c>
      <c r="E10" s="905" t="s">
        <v>128</v>
      </c>
      <c r="F10" s="917"/>
      <c r="G10" s="898"/>
      <c r="H10" s="898"/>
      <c r="I10" s="898"/>
      <c r="J10" s="904" t="s">
        <v>129</v>
      </c>
      <c r="K10" s="921" t="s">
        <v>130</v>
      </c>
      <c r="L10" s="879" t="s">
        <v>105</v>
      </c>
      <c r="M10" s="880" t="s">
        <v>131</v>
      </c>
      <c r="N10" s="880" t="s">
        <v>108</v>
      </c>
      <c r="O10" s="880" t="s">
        <v>249</v>
      </c>
      <c r="P10" s="880" t="s">
        <v>111</v>
      </c>
      <c r="Q10" s="901"/>
      <c r="R10" s="898"/>
      <c r="S10" s="879"/>
      <c r="T10" s="877"/>
      <c r="U10" s="875"/>
      <c r="V10" s="874"/>
      <c r="W10" s="875"/>
      <c r="X10" s="872"/>
    </row>
    <row r="11" spans="1:24" ht="15.75">
      <c r="A11" s="911"/>
      <c r="B11" s="912"/>
      <c r="C11" s="881"/>
      <c r="D11" s="881"/>
      <c r="E11" s="881"/>
      <c r="F11" s="896"/>
      <c r="G11" s="881"/>
      <c r="H11" s="881"/>
      <c r="I11" s="881"/>
      <c r="J11" s="904"/>
      <c r="K11" s="921"/>
      <c r="L11" s="879"/>
      <c r="M11" s="881"/>
      <c r="N11" s="881" t="s">
        <v>108</v>
      </c>
      <c r="O11" s="881" t="s">
        <v>249</v>
      </c>
      <c r="P11" s="881" t="s">
        <v>111</v>
      </c>
      <c r="Q11" s="897"/>
      <c r="R11" s="881"/>
      <c r="S11" s="879"/>
      <c r="T11" s="877"/>
      <c r="U11" s="875"/>
      <c r="V11" s="874"/>
      <c r="W11" s="875"/>
      <c r="X11" s="873"/>
    </row>
    <row r="12" spans="1:24" ht="15.75">
      <c r="A12" s="892" t="s">
        <v>6</v>
      </c>
      <c r="B12" s="893"/>
      <c r="C12" s="427">
        <v>1</v>
      </c>
      <c r="D12" s="427">
        <v>2</v>
      </c>
      <c r="E12" s="427">
        <v>3</v>
      </c>
      <c r="F12" s="427">
        <v>4</v>
      </c>
      <c r="G12" s="427">
        <v>5</v>
      </c>
      <c r="H12" s="427">
        <v>6</v>
      </c>
      <c r="I12" s="427">
        <v>7</v>
      </c>
      <c r="J12" s="427">
        <v>8</v>
      </c>
      <c r="K12" s="427">
        <v>9</v>
      </c>
      <c r="L12" s="427">
        <v>10</v>
      </c>
      <c r="M12" s="427">
        <v>11</v>
      </c>
      <c r="N12" s="427">
        <v>12</v>
      </c>
      <c r="O12" s="427">
        <v>13</v>
      </c>
      <c r="P12" s="427">
        <v>14</v>
      </c>
      <c r="Q12" s="427">
        <v>15</v>
      </c>
      <c r="R12" s="427">
        <v>16</v>
      </c>
      <c r="S12" s="427">
        <v>17</v>
      </c>
      <c r="T12" s="427">
        <v>18</v>
      </c>
      <c r="U12" s="427">
        <v>19</v>
      </c>
      <c r="V12" s="427">
        <v>20</v>
      </c>
      <c r="W12" s="427">
        <v>21</v>
      </c>
      <c r="X12" s="427">
        <v>22</v>
      </c>
    </row>
    <row r="13" spans="1:24" ht="15.75">
      <c r="A13" s="886" t="s">
        <v>30</v>
      </c>
      <c r="B13" s="887"/>
      <c r="C13" s="549">
        <f aca="true" t="shared" si="0" ref="C13:R13">+C14+C15</f>
        <v>9110</v>
      </c>
      <c r="D13" s="549">
        <f t="shared" si="0"/>
        <v>6946</v>
      </c>
      <c r="E13" s="549">
        <f t="shared" si="0"/>
        <v>2164</v>
      </c>
      <c r="F13" s="549">
        <f t="shared" si="0"/>
        <v>11</v>
      </c>
      <c r="G13" s="549">
        <f t="shared" si="0"/>
        <v>0</v>
      </c>
      <c r="H13" s="549">
        <f t="shared" si="0"/>
        <v>9099</v>
      </c>
      <c r="I13" s="549">
        <f t="shared" si="0"/>
        <v>5943</v>
      </c>
      <c r="J13" s="549">
        <f t="shared" si="0"/>
        <v>1263</v>
      </c>
      <c r="K13" s="549">
        <f t="shared" si="0"/>
        <v>35</v>
      </c>
      <c r="L13" s="549">
        <f t="shared" si="0"/>
        <v>4543</v>
      </c>
      <c r="M13" s="549">
        <f t="shared" si="0"/>
        <v>34</v>
      </c>
      <c r="N13" s="549">
        <f t="shared" si="0"/>
        <v>3</v>
      </c>
      <c r="O13" s="549">
        <f t="shared" si="0"/>
        <v>0</v>
      </c>
      <c r="P13" s="549">
        <f t="shared" si="0"/>
        <v>65</v>
      </c>
      <c r="Q13" s="549">
        <f t="shared" si="0"/>
        <v>3156</v>
      </c>
      <c r="R13" s="549">
        <f t="shared" si="0"/>
        <v>7801</v>
      </c>
      <c r="S13" s="550">
        <f aca="true" t="shared" si="1" ref="S13:S24">(((J13+K13))/I13)*100</f>
        <v>21.84082113410735</v>
      </c>
      <c r="T13" s="551">
        <f>J13+K13</f>
        <v>1298</v>
      </c>
      <c r="U13" s="551">
        <f>+U14+U15</f>
        <v>3174</v>
      </c>
      <c r="V13" s="551">
        <f>L13+M13+N13+O13+P13</f>
        <v>4645</v>
      </c>
      <c r="W13" s="460">
        <f>+I13/H13</f>
        <v>0.6531486976590835</v>
      </c>
      <c r="X13" s="552">
        <f>(((L13+M13+N13+O13+P13)-U13)/U13)*100</f>
        <v>46.34530560806554</v>
      </c>
    </row>
    <row r="14" spans="1:24" ht="15.75">
      <c r="A14" s="468" t="s">
        <v>0</v>
      </c>
      <c r="B14" s="467" t="s">
        <v>444</v>
      </c>
      <c r="C14" s="553">
        <f>'06'!C12</f>
        <v>235</v>
      </c>
      <c r="D14" s="553">
        <f>'06'!D12</f>
        <v>197</v>
      </c>
      <c r="E14" s="553">
        <f>'06'!E12</f>
        <v>38</v>
      </c>
      <c r="F14" s="553">
        <f>'06'!F12</f>
        <v>0</v>
      </c>
      <c r="G14" s="553">
        <f>'06'!G12</f>
        <v>0</v>
      </c>
      <c r="H14" s="553">
        <f>'06'!H12</f>
        <v>235</v>
      </c>
      <c r="I14" s="553">
        <f>'06'!I12</f>
        <v>148</v>
      </c>
      <c r="J14" s="553">
        <f>'06'!J12</f>
        <v>13</v>
      </c>
      <c r="K14" s="553">
        <f>'06'!K12</f>
        <v>0</v>
      </c>
      <c r="L14" s="553">
        <f>'06'!L12</f>
        <v>123</v>
      </c>
      <c r="M14" s="553">
        <f>'06'!M12</f>
        <v>6</v>
      </c>
      <c r="N14" s="553">
        <f>'06'!N12</f>
        <v>1</v>
      </c>
      <c r="O14" s="553">
        <f>'06'!O12</f>
        <v>0</v>
      </c>
      <c r="P14" s="553">
        <f>'06'!P12</f>
        <v>5</v>
      </c>
      <c r="Q14" s="553">
        <f>'06'!Q12</f>
        <v>87</v>
      </c>
      <c r="R14" s="553">
        <f>'06'!R12</f>
        <v>222</v>
      </c>
      <c r="S14" s="554">
        <f t="shared" si="1"/>
        <v>8.783783783783784</v>
      </c>
      <c r="T14" s="551">
        <f aca="true" t="shared" si="2" ref="T14:T24">J14+K14</f>
        <v>13</v>
      </c>
      <c r="U14" s="551">
        <v>90</v>
      </c>
      <c r="V14" s="551">
        <f aca="true" t="shared" si="3" ref="V14:V24">L14+M14+N14+O14+P14</f>
        <v>135</v>
      </c>
      <c r="W14" s="460">
        <f aca="true" t="shared" si="4" ref="W14:W24">+I14/H14</f>
        <v>0.6297872340425532</v>
      </c>
      <c r="X14" s="552">
        <f aca="true" t="shared" si="5" ref="X14:X24">(((L14+M14+N14+O14+P14)-U14)/U14)*100</f>
        <v>50</v>
      </c>
    </row>
    <row r="15" spans="1:24" ht="15.75">
      <c r="A15" s="468" t="s">
        <v>1</v>
      </c>
      <c r="B15" s="469" t="s">
        <v>17</v>
      </c>
      <c r="C15" s="549">
        <f aca="true" t="shared" si="6" ref="C15:R15">SUM(C16:C24)</f>
        <v>8875</v>
      </c>
      <c r="D15" s="549">
        <f t="shared" si="6"/>
        <v>6749</v>
      </c>
      <c r="E15" s="549">
        <f t="shared" si="6"/>
        <v>2126</v>
      </c>
      <c r="F15" s="549">
        <f t="shared" si="6"/>
        <v>11</v>
      </c>
      <c r="G15" s="549">
        <f t="shared" si="6"/>
        <v>0</v>
      </c>
      <c r="H15" s="549">
        <f t="shared" si="6"/>
        <v>8864</v>
      </c>
      <c r="I15" s="549">
        <f t="shared" si="6"/>
        <v>5795</v>
      </c>
      <c r="J15" s="549">
        <f t="shared" si="6"/>
        <v>1250</v>
      </c>
      <c r="K15" s="549">
        <f t="shared" si="6"/>
        <v>35</v>
      </c>
      <c r="L15" s="549">
        <f t="shared" si="6"/>
        <v>4420</v>
      </c>
      <c r="M15" s="549">
        <f t="shared" si="6"/>
        <v>28</v>
      </c>
      <c r="N15" s="549">
        <f t="shared" si="6"/>
        <v>2</v>
      </c>
      <c r="O15" s="549">
        <f t="shared" si="6"/>
        <v>0</v>
      </c>
      <c r="P15" s="549">
        <f t="shared" si="6"/>
        <v>60</v>
      </c>
      <c r="Q15" s="549">
        <f t="shared" si="6"/>
        <v>3069</v>
      </c>
      <c r="R15" s="549">
        <f t="shared" si="6"/>
        <v>7579</v>
      </c>
      <c r="S15" s="550">
        <f t="shared" si="1"/>
        <v>22.17428817946506</v>
      </c>
      <c r="T15" s="551">
        <f>J15+K15</f>
        <v>1285</v>
      </c>
      <c r="U15" s="551">
        <f>+U16+U17+U18+U19+U20+U21+U22+U23+U24</f>
        <v>3084</v>
      </c>
      <c r="V15" s="551">
        <f>L15+M15+N15+O15+P15</f>
        <v>4510</v>
      </c>
      <c r="W15" s="460">
        <f t="shared" si="4"/>
        <v>0.6537680505415162</v>
      </c>
      <c r="X15" s="552">
        <f t="shared" si="5"/>
        <v>46.23865110246433</v>
      </c>
    </row>
    <row r="16" spans="1:24" ht="15.75">
      <c r="A16" s="466" t="s">
        <v>43</v>
      </c>
      <c r="B16" s="467" t="s">
        <v>443</v>
      </c>
      <c r="C16" s="553">
        <f>'06'!C23</f>
        <v>1076</v>
      </c>
      <c r="D16" s="553">
        <f>'06'!D23</f>
        <v>857</v>
      </c>
      <c r="E16" s="553">
        <f>'06'!E23</f>
        <v>219</v>
      </c>
      <c r="F16" s="553">
        <f>'06'!F23</f>
        <v>1</v>
      </c>
      <c r="G16" s="553">
        <f>'06'!G23</f>
        <v>0</v>
      </c>
      <c r="H16" s="553">
        <f>'06'!H23</f>
        <v>1075</v>
      </c>
      <c r="I16" s="553">
        <f>'06'!I23</f>
        <v>668</v>
      </c>
      <c r="J16" s="553">
        <f>'06'!J23</f>
        <v>111</v>
      </c>
      <c r="K16" s="553">
        <f>'06'!K23</f>
        <v>0</v>
      </c>
      <c r="L16" s="553">
        <f>'06'!L23</f>
        <v>522</v>
      </c>
      <c r="M16" s="553">
        <f>'06'!M23</f>
        <v>18</v>
      </c>
      <c r="N16" s="553">
        <f>'06'!N23</f>
        <v>0</v>
      </c>
      <c r="O16" s="553">
        <f>'06'!O23</f>
        <v>0</v>
      </c>
      <c r="P16" s="553">
        <f>'06'!P23</f>
        <v>17</v>
      </c>
      <c r="Q16" s="553">
        <f>'06'!Q23</f>
        <v>407</v>
      </c>
      <c r="R16" s="553">
        <f>'06'!R23</f>
        <v>964</v>
      </c>
      <c r="S16" s="554">
        <f t="shared" si="1"/>
        <v>16.61676646706587</v>
      </c>
      <c r="T16" s="551">
        <f t="shared" si="2"/>
        <v>111</v>
      </c>
      <c r="U16" s="551">
        <v>490</v>
      </c>
      <c r="V16" s="551">
        <f t="shared" si="3"/>
        <v>557</v>
      </c>
      <c r="W16" s="460">
        <f t="shared" si="4"/>
        <v>0.6213953488372093</v>
      </c>
      <c r="X16" s="552">
        <f t="shared" si="5"/>
        <v>13.673469387755102</v>
      </c>
    </row>
    <row r="17" spans="1:24" ht="15.75">
      <c r="A17" s="466" t="s">
        <v>44</v>
      </c>
      <c r="B17" s="470" t="s">
        <v>442</v>
      </c>
      <c r="C17" s="553">
        <f>'06'!C31</f>
        <v>1274</v>
      </c>
      <c r="D17" s="553">
        <f>'06'!D31</f>
        <v>900</v>
      </c>
      <c r="E17" s="553">
        <f>'06'!E31</f>
        <v>374</v>
      </c>
      <c r="F17" s="553">
        <f>'06'!F31</f>
        <v>1</v>
      </c>
      <c r="G17" s="553">
        <f>'06'!G31</f>
        <v>0</v>
      </c>
      <c r="H17" s="553">
        <f>'06'!H31</f>
        <v>1273</v>
      </c>
      <c r="I17" s="553">
        <f>'06'!I31</f>
        <v>885</v>
      </c>
      <c r="J17" s="553">
        <f>'06'!J31</f>
        <v>210</v>
      </c>
      <c r="K17" s="553">
        <f>'06'!K31</f>
        <v>3</v>
      </c>
      <c r="L17" s="553">
        <f>'06'!L31</f>
        <v>664</v>
      </c>
      <c r="M17" s="553">
        <f>'06'!M31</f>
        <v>1</v>
      </c>
      <c r="N17" s="553">
        <f>'06'!N31</f>
        <v>1</v>
      </c>
      <c r="O17" s="553">
        <f>'06'!O31</f>
        <v>0</v>
      </c>
      <c r="P17" s="553">
        <f>'06'!P31</f>
        <v>6</v>
      </c>
      <c r="Q17" s="553">
        <f>'06'!Q31</f>
        <v>388</v>
      </c>
      <c r="R17" s="553">
        <f>'06'!R31</f>
        <v>1060</v>
      </c>
      <c r="S17" s="554">
        <f t="shared" si="1"/>
        <v>24.06779661016949</v>
      </c>
      <c r="T17" s="551">
        <f t="shared" si="2"/>
        <v>213</v>
      </c>
      <c r="U17" s="551">
        <v>269</v>
      </c>
      <c r="V17" s="551">
        <f t="shared" si="3"/>
        <v>672</v>
      </c>
      <c r="W17" s="460">
        <f t="shared" si="4"/>
        <v>0.6952081696779262</v>
      </c>
      <c r="X17" s="552">
        <f t="shared" si="5"/>
        <v>149.81412639405204</v>
      </c>
    </row>
    <row r="18" spans="1:24" ht="15.75">
      <c r="A18" s="466" t="s">
        <v>49</v>
      </c>
      <c r="B18" s="467" t="s">
        <v>441</v>
      </c>
      <c r="C18" s="553">
        <f>'06'!C36</f>
        <v>671</v>
      </c>
      <c r="D18" s="553">
        <f>'06'!D36</f>
        <v>546</v>
      </c>
      <c r="E18" s="553">
        <f>'06'!E36</f>
        <v>125</v>
      </c>
      <c r="F18" s="553">
        <f>'06'!F36</f>
        <v>0</v>
      </c>
      <c r="G18" s="553">
        <f>'06'!G36</f>
        <v>0</v>
      </c>
      <c r="H18" s="553">
        <f>'06'!H36</f>
        <v>671</v>
      </c>
      <c r="I18" s="553">
        <f>'06'!I36</f>
        <v>377</v>
      </c>
      <c r="J18" s="553">
        <f>'06'!J36</f>
        <v>85</v>
      </c>
      <c r="K18" s="553">
        <f>'06'!K36</f>
        <v>3</v>
      </c>
      <c r="L18" s="553">
        <f>'06'!L36</f>
        <v>285</v>
      </c>
      <c r="M18" s="553">
        <f>'06'!M36</f>
        <v>0</v>
      </c>
      <c r="N18" s="553">
        <f>'06'!N36</f>
        <v>0</v>
      </c>
      <c r="O18" s="553">
        <f>'06'!O36</f>
        <v>0</v>
      </c>
      <c r="P18" s="553">
        <f>'06'!P36</f>
        <v>4</v>
      </c>
      <c r="Q18" s="553">
        <f>'06'!Q36</f>
        <v>294</v>
      </c>
      <c r="R18" s="553">
        <f>'06'!R36</f>
        <v>583</v>
      </c>
      <c r="S18" s="554">
        <f t="shared" si="1"/>
        <v>23.342175066312997</v>
      </c>
      <c r="T18" s="551">
        <f t="shared" si="2"/>
        <v>88</v>
      </c>
      <c r="U18" s="551">
        <v>281</v>
      </c>
      <c r="V18" s="551">
        <f t="shared" si="3"/>
        <v>289</v>
      </c>
      <c r="W18" s="460">
        <f t="shared" si="4"/>
        <v>0.5618479880774963</v>
      </c>
      <c r="X18" s="552">
        <f t="shared" si="5"/>
        <v>2.8469750889679712</v>
      </c>
    </row>
    <row r="19" spans="1:24" ht="15.75">
      <c r="A19" s="466" t="s">
        <v>58</v>
      </c>
      <c r="B19" s="467" t="s">
        <v>440</v>
      </c>
      <c r="C19" s="553">
        <f>'06'!C41</f>
        <v>537</v>
      </c>
      <c r="D19" s="553">
        <f>'06'!D41</f>
        <v>363</v>
      </c>
      <c r="E19" s="553">
        <f>'06'!E41</f>
        <v>174</v>
      </c>
      <c r="F19" s="553">
        <f>'06'!F41</f>
        <v>0</v>
      </c>
      <c r="G19" s="553">
        <f>'06'!G41</f>
        <v>0</v>
      </c>
      <c r="H19" s="553">
        <f>'06'!H41</f>
        <v>537</v>
      </c>
      <c r="I19" s="553">
        <f>'06'!I41</f>
        <v>364</v>
      </c>
      <c r="J19" s="553">
        <f>'06'!J41</f>
        <v>78</v>
      </c>
      <c r="K19" s="553">
        <f>'06'!K41</f>
        <v>3</v>
      </c>
      <c r="L19" s="553">
        <f>'06'!L41</f>
        <v>283</v>
      </c>
      <c r="M19" s="553">
        <f>'06'!M41</f>
        <v>0</v>
      </c>
      <c r="N19" s="553">
        <f>'06'!N41</f>
        <v>0</v>
      </c>
      <c r="O19" s="553">
        <f>'06'!O41</f>
        <v>0</v>
      </c>
      <c r="P19" s="553">
        <f>'06'!P41</f>
        <v>0</v>
      </c>
      <c r="Q19" s="553">
        <f>'06'!Q41</f>
        <v>173</v>
      </c>
      <c r="R19" s="553">
        <f>'06'!R41</f>
        <v>456</v>
      </c>
      <c r="S19" s="554">
        <f t="shared" si="1"/>
        <v>22.252747252747252</v>
      </c>
      <c r="T19" s="551">
        <f t="shared" si="2"/>
        <v>81</v>
      </c>
      <c r="U19" s="551">
        <v>193</v>
      </c>
      <c r="V19" s="551">
        <f t="shared" si="3"/>
        <v>283</v>
      </c>
      <c r="W19" s="460">
        <f t="shared" si="4"/>
        <v>0.6778398510242085</v>
      </c>
      <c r="X19" s="552">
        <f t="shared" si="5"/>
        <v>46.63212435233161</v>
      </c>
    </row>
    <row r="20" spans="1:24" ht="15.75">
      <c r="A20" s="466" t="s">
        <v>59</v>
      </c>
      <c r="B20" s="467" t="s">
        <v>439</v>
      </c>
      <c r="C20" s="553">
        <f>'06'!C45</f>
        <v>679</v>
      </c>
      <c r="D20" s="553">
        <f>'06'!D45</f>
        <v>410</v>
      </c>
      <c r="E20" s="553">
        <f>'06'!E45</f>
        <v>269</v>
      </c>
      <c r="F20" s="553">
        <f>'06'!F45</f>
        <v>0</v>
      </c>
      <c r="G20" s="553">
        <f>'06'!G45</f>
        <v>0</v>
      </c>
      <c r="H20" s="553">
        <f>'06'!H45</f>
        <v>679</v>
      </c>
      <c r="I20" s="553">
        <f>'06'!I45</f>
        <v>468</v>
      </c>
      <c r="J20" s="553">
        <f>'06'!J45</f>
        <v>204</v>
      </c>
      <c r="K20" s="553">
        <f>'06'!K45</f>
        <v>3</v>
      </c>
      <c r="L20" s="553">
        <f>'06'!L45</f>
        <v>255</v>
      </c>
      <c r="M20" s="553">
        <f>'06'!M45</f>
        <v>6</v>
      </c>
      <c r="N20" s="553">
        <f>'06'!N45</f>
        <v>0</v>
      </c>
      <c r="O20" s="553">
        <f>'06'!O45</f>
        <v>0</v>
      </c>
      <c r="P20" s="553">
        <f>'06'!P45</f>
        <v>0</v>
      </c>
      <c r="Q20" s="553">
        <f>'06'!Q45</f>
        <v>211</v>
      </c>
      <c r="R20" s="553">
        <f>'06'!R45</f>
        <v>472</v>
      </c>
      <c r="S20" s="554">
        <f t="shared" si="1"/>
        <v>44.230769230769226</v>
      </c>
      <c r="T20" s="551">
        <f t="shared" si="2"/>
        <v>207</v>
      </c>
      <c r="U20" s="551">
        <v>210</v>
      </c>
      <c r="V20" s="551">
        <f t="shared" si="3"/>
        <v>261</v>
      </c>
      <c r="W20" s="460">
        <f t="shared" si="4"/>
        <v>0.6892488954344624</v>
      </c>
      <c r="X20" s="552">
        <f t="shared" si="5"/>
        <v>24.285714285714285</v>
      </c>
    </row>
    <row r="21" spans="1:24" ht="15.75">
      <c r="A21" s="466" t="s">
        <v>60</v>
      </c>
      <c r="B21" s="467" t="s">
        <v>438</v>
      </c>
      <c r="C21" s="553">
        <f>'06'!C51</f>
        <v>1351</v>
      </c>
      <c r="D21" s="553">
        <f>'06'!D51</f>
        <v>1125</v>
      </c>
      <c r="E21" s="553">
        <f>'06'!E51</f>
        <v>226</v>
      </c>
      <c r="F21" s="553">
        <f>'06'!F51</f>
        <v>8</v>
      </c>
      <c r="G21" s="553">
        <f>'06'!G51</f>
        <v>0</v>
      </c>
      <c r="H21" s="553">
        <f>'06'!H51</f>
        <v>1343</v>
      </c>
      <c r="I21" s="553">
        <f>'06'!I51</f>
        <v>551</v>
      </c>
      <c r="J21" s="553">
        <f>'06'!J51</f>
        <v>135</v>
      </c>
      <c r="K21" s="553">
        <f>'06'!K51</f>
        <v>5</v>
      </c>
      <c r="L21" s="553">
        <f>'06'!L51</f>
        <v>411</v>
      </c>
      <c r="M21" s="553">
        <f>'06'!M51</f>
        <v>0</v>
      </c>
      <c r="N21" s="553">
        <f>'06'!N51</f>
        <v>0</v>
      </c>
      <c r="O21" s="553">
        <f>'06'!O51</f>
        <v>0</v>
      </c>
      <c r="P21" s="553">
        <f>'06'!P51</f>
        <v>0</v>
      </c>
      <c r="Q21" s="553">
        <f>'06'!Q51</f>
        <v>792</v>
      </c>
      <c r="R21" s="553">
        <f>'06'!R51</f>
        <v>1203</v>
      </c>
      <c r="S21" s="554">
        <f t="shared" si="1"/>
        <v>25.40834845735027</v>
      </c>
      <c r="T21" s="551">
        <f t="shared" si="2"/>
        <v>140</v>
      </c>
      <c r="U21" s="551">
        <v>384</v>
      </c>
      <c r="V21" s="551">
        <f t="shared" si="3"/>
        <v>411</v>
      </c>
      <c r="W21" s="460">
        <f t="shared" si="4"/>
        <v>0.41027550260610574</v>
      </c>
      <c r="X21" s="552">
        <f t="shared" si="5"/>
        <v>7.03125</v>
      </c>
    </row>
    <row r="22" spans="1:24" ht="15.75">
      <c r="A22" s="466" t="s">
        <v>61</v>
      </c>
      <c r="B22" s="467" t="s">
        <v>437</v>
      </c>
      <c r="C22" s="553">
        <f>'06'!C58</f>
        <v>1163</v>
      </c>
      <c r="D22" s="553">
        <f>'06'!D58</f>
        <v>940</v>
      </c>
      <c r="E22" s="553">
        <f>'06'!E58</f>
        <v>223</v>
      </c>
      <c r="F22" s="553">
        <f>'06'!F58</f>
        <v>1</v>
      </c>
      <c r="G22" s="553">
        <f>'06'!G58</f>
        <v>0</v>
      </c>
      <c r="H22" s="553">
        <f>'06'!H58</f>
        <v>1162</v>
      </c>
      <c r="I22" s="553">
        <f>'06'!I58</f>
        <v>754</v>
      </c>
      <c r="J22" s="553">
        <f>'06'!J58</f>
        <v>137</v>
      </c>
      <c r="K22" s="553">
        <f>'06'!K58</f>
        <v>9</v>
      </c>
      <c r="L22" s="553">
        <f>'06'!L58</f>
        <v>576</v>
      </c>
      <c r="M22" s="553">
        <f>'06'!M58</f>
        <v>1</v>
      </c>
      <c r="N22" s="553">
        <f>'06'!N58</f>
        <v>0</v>
      </c>
      <c r="O22" s="553">
        <f>'06'!O58</f>
        <v>0</v>
      </c>
      <c r="P22" s="553">
        <f>'06'!P58</f>
        <v>31</v>
      </c>
      <c r="Q22" s="553">
        <f>'06'!Q58</f>
        <v>408</v>
      </c>
      <c r="R22" s="553">
        <f>'06'!R58</f>
        <v>1016</v>
      </c>
      <c r="S22" s="554">
        <f t="shared" si="1"/>
        <v>19.363395225464192</v>
      </c>
      <c r="T22" s="551">
        <f t="shared" si="2"/>
        <v>146</v>
      </c>
      <c r="U22" s="551">
        <v>334</v>
      </c>
      <c r="V22" s="551">
        <f t="shared" si="3"/>
        <v>608</v>
      </c>
      <c r="W22" s="460">
        <f t="shared" si="4"/>
        <v>0.648881239242685</v>
      </c>
      <c r="X22" s="552">
        <f t="shared" si="5"/>
        <v>82.03592814371258</v>
      </c>
    </row>
    <row r="23" spans="1:24" ht="15.75">
      <c r="A23" s="466" t="s">
        <v>62</v>
      </c>
      <c r="B23" s="467" t="s">
        <v>436</v>
      </c>
      <c r="C23" s="553">
        <f>'06'!C64</f>
        <v>1456</v>
      </c>
      <c r="D23" s="553">
        <f>'06'!D64</f>
        <v>1145</v>
      </c>
      <c r="E23" s="553">
        <f>'06'!E64</f>
        <v>311</v>
      </c>
      <c r="F23" s="553">
        <f>'06'!F64</f>
        <v>0</v>
      </c>
      <c r="G23" s="553">
        <f>'06'!G64</f>
        <v>0</v>
      </c>
      <c r="H23" s="553">
        <f>'06'!H64</f>
        <v>1456</v>
      </c>
      <c r="I23" s="553">
        <f>'06'!I64</f>
        <v>1247</v>
      </c>
      <c r="J23" s="553">
        <f>'06'!J64</f>
        <v>142</v>
      </c>
      <c r="K23" s="553">
        <f>'06'!K64</f>
        <v>8</v>
      </c>
      <c r="L23" s="553">
        <f>'06'!L64</f>
        <v>1096</v>
      </c>
      <c r="M23" s="553">
        <f>'06'!M64</f>
        <v>0</v>
      </c>
      <c r="N23" s="553">
        <f>'06'!N64</f>
        <v>1</v>
      </c>
      <c r="O23" s="553">
        <f>'06'!O64</f>
        <v>0</v>
      </c>
      <c r="P23" s="553">
        <f>'06'!P64</f>
        <v>0</v>
      </c>
      <c r="Q23" s="553">
        <f>'06'!Q64</f>
        <v>209</v>
      </c>
      <c r="R23" s="553">
        <f>'06'!R64</f>
        <v>1306</v>
      </c>
      <c r="S23" s="554">
        <f t="shared" si="1"/>
        <v>12.028869286287089</v>
      </c>
      <c r="T23" s="551">
        <f t="shared" si="2"/>
        <v>150</v>
      </c>
      <c r="U23" s="551">
        <v>627</v>
      </c>
      <c r="V23" s="551">
        <f t="shared" si="3"/>
        <v>1097</v>
      </c>
      <c r="W23" s="460">
        <f t="shared" si="4"/>
        <v>0.8564560439560439</v>
      </c>
      <c r="X23" s="552">
        <f t="shared" si="5"/>
        <v>74.96012759170654</v>
      </c>
    </row>
    <row r="24" spans="1:24" ht="15.75">
      <c r="A24" s="466" t="s">
        <v>63</v>
      </c>
      <c r="B24" s="467" t="s">
        <v>435</v>
      </c>
      <c r="C24" s="553">
        <f>'06'!C70</f>
        <v>668</v>
      </c>
      <c r="D24" s="553">
        <f>'06'!D70</f>
        <v>463</v>
      </c>
      <c r="E24" s="553">
        <f>'06'!E70</f>
        <v>205</v>
      </c>
      <c r="F24" s="553">
        <f>'06'!F70</f>
        <v>0</v>
      </c>
      <c r="G24" s="553">
        <f>'06'!G70</f>
        <v>0</v>
      </c>
      <c r="H24" s="553">
        <f>'06'!H70</f>
        <v>668</v>
      </c>
      <c r="I24" s="553">
        <f>'06'!I70</f>
        <v>481</v>
      </c>
      <c r="J24" s="553">
        <f>'06'!J70</f>
        <v>148</v>
      </c>
      <c r="K24" s="553">
        <f>'06'!K70</f>
        <v>1</v>
      </c>
      <c r="L24" s="553">
        <f>'06'!L70</f>
        <v>328</v>
      </c>
      <c r="M24" s="553">
        <f>'06'!M70</f>
        <v>2</v>
      </c>
      <c r="N24" s="553">
        <f>'06'!N70</f>
        <v>0</v>
      </c>
      <c r="O24" s="553">
        <f>'06'!O70</f>
        <v>0</v>
      </c>
      <c r="P24" s="553">
        <f>'06'!P70</f>
        <v>2</v>
      </c>
      <c r="Q24" s="553">
        <f>'06'!Q70</f>
        <v>187</v>
      </c>
      <c r="R24" s="553">
        <f>'06'!R70</f>
        <v>519</v>
      </c>
      <c r="S24" s="554">
        <f t="shared" si="1"/>
        <v>30.97713097713098</v>
      </c>
      <c r="T24" s="551">
        <f t="shared" si="2"/>
        <v>149</v>
      </c>
      <c r="U24" s="551">
        <v>296</v>
      </c>
      <c r="V24" s="551">
        <f t="shared" si="3"/>
        <v>332</v>
      </c>
      <c r="W24" s="460">
        <f t="shared" si="4"/>
        <v>0.7200598802395209</v>
      </c>
      <c r="X24" s="552">
        <f t="shared" si="5"/>
        <v>12.162162162162163</v>
      </c>
    </row>
    <row r="25" spans="1:24" ht="16.5">
      <c r="A25" s="426"/>
      <c r="B25" s="426"/>
      <c r="C25" s="426"/>
      <c r="D25" s="426"/>
      <c r="E25" s="426"/>
      <c r="F25" s="425"/>
      <c r="G25" s="425"/>
      <c r="H25" s="425"/>
      <c r="I25" s="425"/>
      <c r="J25" s="425"/>
      <c r="K25" s="425"/>
      <c r="L25" s="425"/>
      <c r="M25" s="425"/>
      <c r="N25" s="888" t="str">
        <f>'Thong tin'!B8</f>
        <v>Trà Vinh, ngày 30 tháng 11 năm 2017</v>
      </c>
      <c r="O25" s="888"/>
      <c r="P25" s="888"/>
      <c r="Q25" s="888"/>
      <c r="R25" s="888"/>
      <c r="S25" s="888"/>
      <c r="T25" s="444"/>
      <c r="U25" s="444"/>
      <c r="V25" s="464"/>
      <c r="W25" s="444"/>
      <c r="X25" s="444"/>
    </row>
    <row r="26" spans="1:24" ht="16.5">
      <c r="A26" s="424"/>
      <c r="B26" s="889"/>
      <c r="C26" s="889"/>
      <c r="D26" s="889"/>
      <c r="E26" s="889"/>
      <c r="F26" s="423"/>
      <c r="G26" s="423"/>
      <c r="H26" s="423"/>
      <c r="I26" s="423"/>
      <c r="J26" s="423"/>
      <c r="K26" s="423"/>
      <c r="L26" s="423"/>
      <c r="M26" s="423"/>
      <c r="N26" s="890" t="str">
        <f>'Thong tin'!B7</f>
        <v>PHÓ CỤC TRƯỞNG</v>
      </c>
      <c r="O26" s="890"/>
      <c r="P26" s="890"/>
      <c r="Q26" s="890"/>
      <c r="R26" s="890"/>
      <c r="S26" s="890"/>
      <c r="T26" s="445"/>
      <c r="U26" s="445"/>
      <c r="V26" s="445"/>
      <c r="W26" s="445"/>
      <c r="X26" s="445"/>
    </row>
    <row r="27" spans="1:24" ht="16.5">
      <c r="A27" s="394"/>
      <c r="B27" s="889" t="s">
        <v>4</v>
      </c>
      <c r="C27" s="889"/>
      <c r="D27" s="889"/>
      <c r="E27" s="889"/>
      <c r="F27" s="395"/>
      <c r="G27" s="395"/>
      <c r="H27" s="395"/>
      <c r="I27" s="395"/>
      <c r="J27" s="395"/>
      <c r="K27" s="395"/>
      <c r="L27" s="395"/>
      <c r="M27" s="395"/>
      <c r="N27" s="891"/>
      <c r="O27" s="891"/>
      <c r="P27" s="891"/>
      <c r="Q27" s="891"/>
      <c r="R27" s="891"/>
      <c r="S27" s="891"/>
      <c r="T27" s="446"/>
      <c r="U27" s="446"/>
      <c r="V27" s="446"/>
      <c r="W27" s="446"/>
      <c r="X27" s="446"/>
    </row>
    <row r="28" spans="1:24" ht="15.75">
      <c r="A28" s="394"/>
      <c r="B28" s="394"/>
      <c r="C28" s="394"/>
      <c r="D28" s="395"/>
      <c r="E28" s="395"/>
      <c r="F28" s="395"/>
      <c r="G28" s="395"/>
      <c r="H28" s="395"/>
      <c r="I28" s="395"/>
      <c r="J28" s="395"/>
      <c r="K28" s="395"/>
      <c r="L28" s="395"/>
      <c r="M28" s="395"/>
      <c r="N28" s="395"/>
      <c r="O28" s="395"/>
      <c r="P28" s="395"/>
      <c r="Q28" s="395"/>
      <c r="R28" s="394"/>
      <c r="S28" s="394"/>
      <c r="T28" s="394"/>
      <c r="U28" s="394"/>
      <c r="V28" s="394"/>
      <c r="W28" s="394"/>
      <c r="X28" s="394"/>
    </row>
    <row r="29" spans="1:24" ht="15.75">
      <c r="A29" s="394"/>
      <c r="B29" s="394"/>
      <c r="C29" s="394"/>
      <c r="D29" s="395"/>
      <c r="E29" s="395"/>
      <c r="F29" s="395"/>
      <c r="G29" s="395"/>
      <c r="H29" s="395"/>
      <c r="I29" s="395"/>
      <c r="J29" s="395"/>
      <c r="K29" s="395"/>
      <c r="L29" s="395"/>
      <c r="M29" s="395"/>
      <c r="N29" s="395"/>
      <c r="O29" s="395"/>
      <c r="P29" s="395"/>
      <c r="Q29" s="395"/>
      <c r="R29" s="394"/>
      <c r="S29" s="394"/>
      <c r="T29" s="394"/>
      <c r="U29" s="394"/>
      <c r="V29" s="394"/>
      <c r="W29" s="394"/>
      <c r="X29" s="394"/>
    </row>
    <row r="30" spans="1:24" ht="15.75">
      <c r="A30" s="422"/>
      <c r="B30" s="394"/>
      <c r="C30" s="394"/>
      <c r="D30" s="395"/>
      <c r="E30" s="395"/>
      <c r="F30" s="395"/>
      <c r="G30" s="395"/>
      <c r="H30" s="395"/>
      <c r="I30" s="395"/>
      <c r="J30" s="395"/>
      <c r="K30" s="395"/>
      <c r="L30" s="395"/>
      <c r="M30" s="395"/>
      <c r="N30" s="395"/>
      <c r="O30" s="395"/>
      <c r="P30" s="395"/>
      <c r="Q30" s="395"/>
      <c r="R30" s="394"/>
      <c r="S30" s="394"/>
      <c r="T30" s="394"/>
      <c r="U30" s="394"/>
      <c r="V30" s="394"/>
      <c r="W30" s="394"/>
      <c r="X30" s="394"/>
    </row>
    <row r="31" spans="1:24" ht="15.75">
      <c r="A31" s="394"/>
      <c r="B31" s="878"/>
      <c r="C31" s="878"/>
      <c r="D31" s="878"/>
      <c r="E31" s="878"/>
      <c r="F31" s="878"/>
      <c r="G31" s="878"/>
      <c r="H31" s="878"/>
      <c r="I31" s="878"/>
      <c r="J31" s="878"/>
      <c r="K31" s="878"/>
      <c r="L31" s="878"/>
      <c r="M31" s="878"/>
      <c r="N31" s="878"/>
      <c r="O31" s="878"/>
      <c r="P31" s="395"/>
      <c r="Q31" s="395"/>
      <c r="R31" s="394"/>
      <c r="S31" s="394"/>
      <c r="T31" s="394"/>
      <c r="U31" s="394"/>
      <c r="V31" s="394"/>
      <c r="W31" s="394"/>
      <c r="X31" s="394"/>
    </row>
    <row r="32" spans="1:24" ht="15.75">
      <c r="A32" s="394"/>
      <c r="B32" s="421"/>
      <c r="C32" s="421"/>
      <c r="D32" s="421"/>
      <c r="E32" s="421"/>
      <c r="F32" s="421"/>
      <c r="G32" s="421"/>
      <c r="H32" s="421"/>
      <c r="I32" s="421"/>
      <c r="J32" s="421"/>
      <c r="K32" s="421"/>
      <c r="L32" s="421"/>
      <c r="M32" s="421"/>
      <c r="N32" s="421"/>
      <c r="O32" s="421"/>
      <c r="P32" s="395"/>
      <c r="Q32" s="395"/>
      <c r="R32" s="394"/>
      <c r="S32" s="394"/>
      <c r="T32" s="394"/>
      <c r="U32" s="394"/>
      <c r="V32" s="394"/>
      <c r="W32" s="394"/>
      <c r="X32" s="394"/>
    </row>
    <row r="33" spans="1:24" ht="15.75">
      <c r="A33" s="394"/>
      <c r="B33" s="885"/>
      <c r="C33" s="885"/>
      <c r="D33" s="885"/>
      <c r="E33" s="885"/>
      <c r="F33" s="421"/>
      <c r="G33" s="421"/>
      <c r="H33" s="421"/>
      <c r="I33" s="421"/>
      <c r="J33" s="421"/>
      <c r="K33" s="421"/>
      <c r="L33" s="421"/>
      <c r="M33" s="421"/>
      <c r="N33" s="421"/>
      <c r="O33" s="884"/>
      <c r="P33" s="884"/>
      <c r="Q33" s="884"/>
      <c r="R33" s="884"/>
      <c r="S33" s="394"/>
      <c r="T33" s="394"/>
      <c r="U33" s="394"/>
      <c r="V33" s="394"/>
      <c r="W33" s="394"/>
      <c r="X33" s="394"/>
    </row>
    <row r="34" spans="1:24" ht="15.75">
      <c r="A34" s="420"/>
      <c r="B34" s="882" t="str">
        <f>'Thong tin'!B5</f>
        <v>Nhan Quốc Hải</v>
      </c>
      <c r="C34" s="882"/>
      <c r="D34" s="882"/>
      <c r="E34" s="882"/>
      <c r="F34" s="420"/>
      <c r="G34" s="420"/>
      <c r="H34" s="420"/>
      <c r="I34" s="420"/>
      <c r="J34" s="420"/>
      <c r="K34" s="420"/>
      <c r="L34" s="420"/>
      <c r="M34" s="420"/>
      <c r="N34" s="420"/>
      <c r="O34" s="883" t="str">
        <f>'Thong tin'!B6</f>
        <v>Trần Việt Hồng</v>
      </c>
      <c r="P34" s="883"/>
      <c r="Q34" s="883"/>
      <c r="R34" s="883"/>
      <c r="S34" s="394"/>
      <c r="T34" s="394"/>
      <c r="U34" s="394"/>
      <c r="V34" s="394"/>
      <c r="W34" s="394"/>
      <c r="X34" s="394"/>
    </row>
  </sheetData>
  <sheetProtection/>
  <mergeCells count="50">
    <mergeCell ref="K10:K11"/>
    <mergeCell ref="P5:S5"/>
    <mergeCell ref="E2:O2"/>
    <mergeCell ref="P2:S2"/>
    <mergeCell ref="A3:D3"/>
    <mergeCell ref="E3:O3"/>
    <mergeCell ref="P3:S3"/>
    <mergeCell ref="A4:D4"/>
    <mergeCell ref="E4:O4"/>
    <mergeCell ref="P4:S4"/>
    <mergeCell ref="J10:J11"/>
    <mergeCell ref="P6:S6"/>
    <mergeCell ref="A7:B11"/>
    <mergeCell ref="C7:E7"/>
    <mergeCell ref="F7:F11"/>
    <mergeCell ref="G7:G11"/>
    <mergeCell ref="H7:Q7"/>
    <mergeCell ref="R7:R11"/>
    <mergeCell ref="S7:S11"/>
    <mergeCell ref="C8:C11"/>
    <mergeCell ref="P10:P11"/>
    <mergeCell ref="A12:B12"/>
    <mergeCell ref="D8:E9"/>
    <mergeCell ref="H8:H11"/>
    <mergeCell ref="I8:P8"/>
    <mergeCell ref="Q8:Q11"/>
    <mergeCell ref="I9:I11"/>
    <mergeCell ref="J9:P9"/>
    <mergeCell ref="D10:D11"/>
    <mergeCell ref="E10:E11"/>
    <mergeCell ref="B34:E34"/>
    <mergeCell ref="O34:R34"/>
    <mergeCell ref="O33:R33"/>
    <mergeCell ref="B33:E33"/>
    <mergeCell ref="A13:B13"/>
    <mergeCell ref="N25:S25"/>
    <mergeCell ref="B26:E26"/>
    <mergeCell ref="N26:S26"/>
    <mergeCell ref="B27:E27"/>
    <mergeCell ref="N27:S27"/>
    <mergeCell ref="X7:X11"/>
    <mergeCell ref="U7:U11"/>
    <mergeCell ref="T7:T11"/>
    <mergeCell ref="V7:V11"/>
    <mergeCell ref="W7:W11"/>
    <mergeCell ref="B31:O31"/>
    <mergeCell ref="L10:L11"/>
    <mergeCell ref="M10:M11"/>
    <mergeCell ref="N10:N11"/>
    <mergeCell ref="O10:O11"/>
  </mergeCells>
  <printOptions/>
  <pageMargins left="0.25" right="0.25" top="0.75" bottom="0" header="0.3" footer="0.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Y33"/>
  <sheetViews>
    <sheetView view="pageBreakPreview" zoomScale="140" zoomScaleNormal="80" zoomScaleSheetLayoutView="140" zoomScalePageLayoutView="0" workbookViewId="0" topLeftCell="A1">
      <selection activeCell="D15" sqref="D15"/>
    </sheetView>
  </sheetViews>
  <sheetFormatPr defaultColWidth="9.00390625" defaultRowHeight="15.75"/>
  <cols>
    <col min="1" max="1" width="3.125" style="0" customWidth="1"/>
    <col min="2" max="2" width="5.375" style="0" customWidth="1"/>
    <col min="3" max="3" width="5.625" style="0" customWidth="1"/>
    <col min="4" max="4" width="5.50390625" style="0" customWidth="1"/>
    <col min="5" max="5" width="5.625" style="0" customWidth="1"/>
    <col min="6" max="6" width="5.00390625" style="0" customWidth="1"/>
    <col min="7" max="7" width="4.50390625" style="0" customWidth="1"/>
    <col min="8" max="8" width="5.50390625" style="0" customWidth="1"/>
    <col min="9" max="9" width="6.00390625" style="0" customWidth="1"/>
    <col min="10" max="10" width="5.75390625" style="0" customWidth="1"/>
    <col min="11" max="11" width="5.125" style="0" customWidth="1"/>
    <col min="12" max="12" width="3.625" style="0" customWidth="1"/>
    <col min="13" max="13" width="5.875" style="0" customWidth="1"/>
    <col min="14" max="14" width="4.25390625" style="0" customWidth="1"/>
    <col min="15" max="15" width="4.50390625" style="0" customWidth="1"/>
    <col min="16" max="16" width="3.50390625" style="0" customWidth="1"/>
    <col min="17" max="17" width="4.625" style="0" customWidth="1"/>
    <col min="18" max="18" width="5.625" style="0" customWidth="1"/>
    <col min="19" max="19" width="5.875" style="0" customWidth="1"/>
    <col min="20" max="20" width="4.625" style="0" customWidth="1"/>
    <col min="21" max="22" width="6.00390625" style="0" customWidth="1"/>
    <col min="23" max="23" width="5.625" style="0" customWidth="1"/>
    <col min="24" max="24" width="4.50390625" style="0" customWidth="1"/>
    <col min="25" max="25" width="3.50390625" style="0" customWidth="1"/>
  </cols>
  <sheetData>
    <row r="1" spans="1:25" ht="16.5">
      <c r="A1" s="395" t="s">
        <v>540</v>
      </c>
      <c r="B1" s="395"/>
      <c r="C1" s="395"/>
      <c r="D1" s="394"/>
      <c r="E1" s="923" t="s">
        <v>539</v>
      </c>
      <c r="F1" s="923"/>
      <c r="G1" s="923"/>
      <c r="H1" s="923"/>
      <c r="I1" s="923"/>
      <c r="J1" s="923"/>
      <c r="K1" s="923"/>
      <c r="L1" s="923"/>
      <c r="M1" s="923"/>
      <c r="N1" s="923"/>
      <c r="O1" s="923"/>
      <c r="P1" s="923"/>
      <c r="Q1" s="954" t="s">
        <v>427</v>
      </c>
      <c r="R1" s="954"/>
      <c r="S1" s="954"/>
      <c r="T1" s="954"/>
      <c r="U1" s="451"/>
      <c r="V1" s="451"/>
      <c r="W1" s="451"/>
      <c r="X1" s="451"/>
      <c r="Y1" s="451"/>
    </row>
    <row r="2" spans="1:25" ht="16.5">
      <c r="A2" s="925" t="s">
        <v>243</v>
      </c>
      <c r="B2" s="925"/>
      <c r="C2" s="925"/>
      <c r="D2" s="925"/>
      <c r="E2" s="926" t="s">
        <v>34</v>
      </c>
      <c r="F2" s="926"/>
      <c r="G2" s="926"/>
      <c r="H2" s="926"/>
      <c r="I2" s="926"/>
      <c r="J2" s="926"/>
      <c r="K2" s="926"/>
      <c r="L2" s="926"/>
      <c r="M2" s="926"/>
      <c r="N2" s="926"/>
      <c r="O2" s="926"/>
      <c r="P2" s="926"/>
      <c r="Q2" s="957" t="s">
        <v>536</v>
      </c>
      <c r="R2" s="957"/>
      <c r="S2" s="957"/>
      <c r="T2" s="957"/>
      <c r="U2" s="450"/>
      <c r="V2" s="450"/>
      <c r="W2" s="450"/>
      <c r="X2" s="450"/>
      <c r="Y2" s="450"/>
    </row>
    <row r="3" spans="1:25" ht="16.5">
      <c r="A3" s="925" t="s">
        <v>244</v>
      </c>
      <c r="B3" s="925"/>
      <c r="C3" s="925"/>
      <c r="D3" s="925"/>
      <c r="E3" s="927" t="str">
        <f>'Thong tin'!B3</f>
        <v>02 tháng / năm 2018</v>
      </c>
      <c r="F3" s="869"/>
      <c r="G3" s="869"/>
      <c r="H3" s="869"/>
      <c r="I3" s="869"/>
      <c r="J3" s="869"/>
      <c r="K3" s="869"/>
      <c r="L3" s="869"/>
      <c r="M3" s="869"/>
      <c r="N3" s="869"/>
      <c r="O3" s="869"/>
      <c r="P3" s="869"/>
      <c r="Q3" s="954" t="s">
        <v>445</v>
      </c>
      <c r="R3" s="954"/>
      <c r="S3" s="954"/>
      <c r="T3" s="954"/>
      <c r="U3" s="451"/>
      <c r="V3" s="451"/>
      <c r="W3" s="451"/>
      <c r="X3" s="451"/>
      <c r="Y3" s="451"/>
    </row>
    <row r="4" spans="1:25" ht="15.75">
      <c r="A4" s="395" t="s">
        <v>535</v>
      </c>
      <c r="B4" s="395"/>
      <c r="C4" s="395"/>
      <c r="D4" s="395"/>
      <c r="E4" s="395"/>
      <c r="F4" s="395"/>
      <c r="G4" s="395"/>
      <c r="H4" s="395"/>
      <c r="I4" s="395"/>
      <c r="J4" s="395"/>
      <c r="K4" s="395"/>
      <c r="L4" s="395"/>
      <c r="M4" s="395"/>
      <c r="N4" s="395"/>
      <c r="O4" s="429"/>
      <c r="P4" s="429"/>
      <c r="Q4" s="957" t="s">
        <v>534</v>
      </c>
      <c r="R4" s="957"/>
      <c r="S4" s="957"/>
      <c r="T4" s="957"/>
      <c r="U4" s="450"/>
      <c r="V4" s="450"/>
      <c r="W4" s="450"/>
      <c r="X4" s="450"/>
      <c r="Y4" s="450"/>
    </row>
    <row r="5" spans="1:25" ht="15.75">
      <c r="A5" s="394"/>
      <c r="B5" s="428"/>
      <c r="C5" s="428"/>
      <c r="D5" s="394"/>
      <c r="E5" s="394"/>
      <c r="F5" s="394"/>
      <c r="G5" s="394"/>
      <c r="H5" s="394"/>
      <c r="I5" s="394"/>
      <c r="J5" s="394"/>
      <c r="K5" s="394"/>
      <c r="L5" s="394"/>
      <c r="M5" s="394"/>
      <c r="N5" s="394"/>
      <c r="O5" s="394"/>
      <c r="P5" s="394"/>
      <c r="Q5" s="958" t="s">
        <v>428</v>
      </c>
      <c r="R5" s="958"/>
      <c r="S5" s="958"/>
      <c r="T5" s="958"/>
      <c r="U5" s="461"/>
      <c r="V5" s="461"/>
      <c r="W5" s="461"/>
      <c r="X5" s="461"/>
      <c r="Y5" s="461"/>
    </row>
    <row r="6" spans="1:25" ht="15.75" customHeight="1">
      <c r="A6" s="941" t="s">
        <v>57</v>
      </c>
      <c r="B6" s="941"/>
      <c r="C6" s="963" t="s">
        <v>124</v>
      </c>
      <c r="D6" s="964"/>
      <c r="E6" s="965"/>
      <c r="F6" s="933" t="s">
        <v>101</v>
      </c>
      <c r="G6" s="939" t="s">
        <v>125</v>
      </c>
      <c r="H6" s="966" t="s">
        <v>102</v>
      </c>
      <c r="I6" s="967"/>
      <c r="J6" s="967"/>
      <c r="K6" s="967"/>
      <c r="L6" s="967"/>
      <c r="M6" s="967"/>
      <c r="N6" s="967"/>
      <c r="O6" s="967"/>
      <c r="P6" s="967"/>
      <c r="Q6" s="967"/>
      <c r="R6" s="968"/>
      <c r="S6" s="945" t="s">
        <v>248</v>
      </c>
      <c r="T6" s="942" t="s">
        <v>538</v>
      </c>
      <c r="U6" s="937" t="s">
        <v>556</v>
      </c>
      <c r="V6" s="929" t="s">
        <v>560</v>
      </c>
      <c r="W6" s="946" t="s">
        <v>554</v>
      </c>
      <c r="X6" s="946" t="s">
        <v>555</v>
      </c>
      <c r="Y6" s="951" t="s">
        <v>559</v>
      </c>
    </row>
    <row r="7" spans="1:25" ht="15.75">
      <c r="A7" s="941"/>
      <c r="B7" s="941"/>
      <c r="C7" s="945" t="s">
        <v>42</v>
      </c>
      <c r="D7" s="959" t="s">
        <v>7</v>
      </c>
      <c r="E7" s="947"/>
      <c r="F7" s="934"/>
      <c r="G7" s="943"/>
      <c r="H7" s="939" t="s">
        <v>31</v>
      </c>
      <c r="I7" s="959" t="s">
        <v>103</v>
      </c>
      <c r="J7" s="960"/>
      <c r="K7" s="960"/>
      <c r="L7" s="960"/>
      <c r="M7" s="960"/>
      <c r="N7" s="960"/>
      <c r="O7" s="960"/>
      <c r="P7" s="960"/>
      <c r="Q7" s="961"/>
      <c r="R7" s="947" t="s">
        <v>126</v>
      </c>
      <c r="S7" s="943"/>
      <c r="T7" s="942"/>
      <c r="U7" s="938"/>
      <c r="V7" s="930"/>
      <c r="W7" s="946"/>
      <c r="X7" s="950"/>
      <c r="Y7" s="952"/>
    </row>
    <row r="8" spans="1:25" ht="15.75">
      <c r="A8" s="941"/>
      <c r="B8" s="941"/>
      <c r="C8" s="943"/>
      <c r="D8" s="935"/>
      <c r="E8" s="949"/>
      <c r="F8" s="934"/>
      <c r="G8" s="943"/>
      <c r="H8" s="943"/>
      <c r="I8" s="939" t="s">
        <v>31</v>
      </c>
      <c r="J8" s="955" t="s">
        <v>7</v>
      </c>
      <c r="K8" s="956"/>
      <c r="L8" s="956"/>
      <c r="M8" s="956"/>
      <c r="N8" s="956"/>
      <c r="O8" s="956"/>
      <c r="P8" s="956"/>
      <c r="Q8" s="932"/>
      <c r="R8" s="948"/>
      <c r="S8" s="943"/>
      <c r="T8" s="942"/>
      <c r="U8" s="938"/>
      <c r="V8" s="930"/>
      <c r="W8" s="946"/>
      <c r="X8" s="950"/>
      <c r="Y8" s="952"/>
    </row>
    <row r="9" spans="1:25" ht="15.75">
      <c r="A9" s="941"/>
      <c r="B9" s="941"/>
      <c r="C9" s="943"/>
      <c r="D9" s="945" t="s">
        <v>127</v>
      </c>
      <c r="E9" s="945" t="s">
        <v>128</v>
      </c>
      <c r="F9" s="934"/>
      <c r="G9" s="943"/>
      <c r="H9" s="943"/>
      <c r="I9" s="943"/>
      <c r="J9" s="932" t="s">
        <v>129</v>
      </c>
      <c r="K9" s="942" t="s">
        <v>130</v>
      </c>
      <c r="L9" s="942" t="s">
        <v>122</v>
      </c>
      <c r="M9" s="962" t="s">
        <v>105</v>
      </c>
      <c r="N9" s="939" t="s">
        <v>131</v>
      </c>
      <c r="O9" s="939" t="s">
        <v>108</v>
      </c>
      <c r="P9" s="939" t="s">
        <v>249</v>
      </c>
      <c r="Q9" s="939" t="s">
        <v>111</v>
      </c>
      <c r="R9" s="948"/>
      <c r="S9" s="943"/>
      <c r="T9" s="942"/>
      <c r="U9" s="938"/>
      <c r="V9" s="930"/>
      <c r="W9" s="946"/>
      <c r="X9" s="950"/>
      <c r="Y9" s="952"/>
    </row>
    <row r="10" spans="1:25" ht="15.75">
      <c r="A10" s="941"/>
      <c r="B10" s="941"/>
      <c r="C10" s="940"/>
      <c r="D10" s="940"/>
      <c r="E10" s="940"/>
      <c r="F10" s="935"/>
      <c r="G10" s="940"/>
      <c r="H10" s="940"/>
      <c r="I10" s="940"/>
      <c r="J10" s="932"/>
      <c r="K10" s="942"/>
      <c r="L10" s="942"/>
      <c r="M10" s="962"/>
      <c r="N10" s="940"/>
      <c r="O10" s="940" t="s">
        <v>108</v>
      </c>
      <c r="P10" s="940" t="s">
        <v>249</v>
      </c>
      <c r="Q10" s="940" t="s">
        <v>111</v>
      </c>
      <c r="R10" s="949"/>
      <c r="S10" s="940"/>
      <c r="T10" s="942"/>
      <c r="U10" s="938"/>
      <c r="V10" s="931"/>
      <c r="W10" s="946"/>
      <c r="X10" s="950"/>
      <c r="Y10" s="953"/>
    </row>
    <row r="11" spans="1:25" ht="15.75">
      <c r="A11" s="944" t="s">
        <v>6</v>
      </c>
      <c r="B11" s="944"/>
      <c r="C11" s="465" t="s">
        <v>43</v>
      </c>
      <c r="D11" s="465" t="s">
        <v>44</v>
      </c>
      <c r="E11" s="465" t="s">
        <v>49</v>
      </c>
      <c r="F11" s="465" t="s">
        <v>58</v>
      </c>
      <c r="G11" s="465" t="s">
        <v>59</v>
      </c>
      <c r="H11" s="465" t="s">
        <v>60</v>
      </c>
      <c r="I11" s="465" t="s">
        <v>61</v>
      </c>
      <c r="J11" s="465" t="s">
        <v>62</v>
      </c>
      <c r="K11" s="465" t="s">
        <v>63</v>
      </c>
      <c r="L11" s="465" t="s">
        <v>83</v>
      </c>
      <c r="M11" s="465" t="s">
        <v>84</v>
      </c>
      <c r="N11" s="465" t="s">
        <v>85</v>
      </c>
      <c r="O11" s="465" t="s">
        <v>86</v>
      </c>
      <c r="P11" s="465" t="s">
        <v>87</v>
      </c>
      <c r="Q11" s="465" t="s">
        <v>251</v>
      </c>
      <c r="R11" s="465" t="s">
        <v>532</v>
      </c>
      <c r="S11" s="465" t="s">
        <v>531</v>
      </c>
      <c r="T11" s="465" t="s">
        <v>530</v>
      </c>
      <c r="U11" s="465" t="s">
        <v>561</v>
      </c>
      <c r="V11" s="465" t="s">
        <v>541</v>
      </c>
      <c r="W11" s="465" t="s">
        <v>542</v>
      </c>
      <c r="X11" s="465" t="s">
        <v>543</v>
      </c>
      <c r="Y11" s="465" t="s">
        <v>544</v>
      </c>
    </row>
    <row r="12" spans="1:25" ht="15.75">
      <c r="A12" s="928" t="s">
        <v>30</v>
      </c>
      <c r="B12" s="928"/>
      <c r="C12" s="463">
        <f>D12+E12</f>
        <v>645650518</v>
      </c>
      <c r="D12" s="463">
        <f aca="true" t="shared" si="0" ref="D12:L12">D13+D14</f>
        <v>564902777</v>
      </c>
      <c r="E12" s="463">
        <f t="shared" si="0"/>
        <v>80747741</v>
      </c>
      <c r="F12" s="463">
        <f t="shared" si="0"/>
        <v>440130</v>
      </c>
      <c r="G12" s="463">
        <f t="shared" si="0"/>
        <v>0</v>
      </c>
      <c r="H12" s="463">
        <f t="shared" si="0"/>
        <v>645210388</v>
      </c>
      <c r="I12" s="463">
        <f t="shared" si="0"/>
        <v>404616900</v>
      </c>
      <c r="J12" s="463">
        <f t="shared" si="0"/>
        <v>17938328</v>
      </c>
      <c r="K12" s="463">
        <f t="shared" si="0"/>
        <v>3297330</v>
      </c>
      <c r="L12" s="463">
        <f t="shared" si="0"/>
        <v>0</v>
      </c>
      <c r="M12" s="463">
        <f aca="true" t="shared" si="1" ref="M12:S12">M13+M14</f>
        <v>370114637</v>
      </c>
      <c r="N12" s="463">
        <f t="shared" si="1"/>
        <v>3399855</v>
      </c>
      <c r="O12" s="463">
        <f t="shared" si="1"/>
        <v>99447</v>
      </c>
      <c r="P12" s="463">
        <f t="shared" si="1"/>
        <v>0</v>
      </c>
      <c r="Q12" s="463">
        <f t="shared" si="1"/>
        <v>9767303</v>
      </c>
      <c r="R12" s="463">
        <f t="shared" si="1"/>
        <v>240593488</v>
      </c>
      <c r="S12" s="463">
        <f t="shared" si="1"/>
        <v>623974730</v>
      </c>
      <c r="T12" s="462">
        <f aca="true" t="shared" si="2" ref="T12:T23">(((J12+K12+L12))/I12)*100</f>
        <v>5.248336883605208</v>
      </c>
      <c r="U12" s="527">
        <f>+J12+K12+L12</f>
        <v>21235658</v>
      </c>
      <c r="V12" s="527">
        <f>+V13+V14</f>
        <v>272726455</v>
      </c>
      <c r="W12" s="527">
        <f>+M12+N12+O12+P12+Q12</f>
        <v>383381242</v>
      </c>
      <c r="X12" s="555">
        <f>+I12/H12</f>
        <v>0.6271084711673923</v>
      </c>
      <c r="Y12" s="526">
        <f>(((M12+N12+O12+P12+Q12)-V12)/V12)*100</f>
        <v>40.573543553008086</v>
      </c>
    </row>
    <row r="13" spans="1:25" ht="15.75">
      <c r="A13" s="528" t="s">
        <v>0</v>
      </c>
      <c r="B13" s="529" t="s">
        <v>444</v>
      </c>
      <c r="C13" s="463">
        <f>'07'!C12</f>
        <v>92951200</v>
      </c>
      <c r="D13" s="463">
        <f>'07'!D12</f>
        <v>91959772</v>
      </c>
      <c r="E13" s="463">
        <f>'07'!E12</f>
        <v>991428</v>
      </c>
      <c r="F13" s="463">
        <f>'07'!F12</f>
        <v>0</v>
      </c>
      <c r="G13" s="463">
        <f>'07'!G12</f>
        <v>0</v>
      </c>
      <c r="H13" s="463">
        <f>'07'!H12</f>
        <v>92951200</v>
      </c>
      <c r="I13" s="463">
        <f>'07'!I12</f>
        <v>70412391</v>
      </c>
      <c r="J13" s="463">
        <f>'07'!J12</f>
        <v>974579</v>
      </c>
      <c r="K13" s="463">
        <f>'07'!K12</f>
        <v>301642</v>
      </c>
      <c r="L13" s="463">
        <f>'07'!L12</f>
        <v>0</v>
      </c>
      <c r="M13" s="463">
        <f>'07'!M12</f>
        <v>66925597</v>
      </c>
      <c r="N13" s="463">
        <f>'07'!N12</f>
        <v>1999183</v>
      </c>
      <c r="O13" s="463">
        <f>'07'!O12</f>
        <v>23750</v>
      </c>
      <c r="P13" s="463">
        <f>'07'!P12</f>
        <v>0</v>
      </c>
      <c r="Q13" s="463">
        <f>'07'!Q12</f>
        <v>187640</v>
      </c>
      <c r="R13" s="463">
        <f>'07'!R12</f>
        <v>22538809</v>
      </c>
      <c r="S13" s="463">
        <f>'07'!S12</f>
        <v>91674979</v>
      </c>
      <c r="T13" s="462">
        <f t="shared" si="2"/>
        <v>1.8124949059037065</v>
      </c>
      <c r="U13" s="527">
        <f aca="true" t="shared" si="3" ref="U13:U23">+J13+K13+L13</f>
        <v>1276221</v>
      </c>
      <c r="V13" s="527">
        <v>40855594</v>
      </c>
      <c r="W13" s="527">
        <f>+M13+N13+O13+P13+Q13</f>
        <v>69136170</v>
      </c>
      <c r="X13" s="555">
        <f aca="true" t="shared" si="4" ref="X13:X23">+I13/H13</f>
        <v>0.7575199782251332</v>
      </c>
      <c r="Y13" s="526">
        <f aca="true" t="shared" si="5" ref="Y13:Y23">(((M13+N13+O13+P13+Q13)-V13)/V13)*100</f>
        <v>69.22081710524145</v>
      </c>
    </row>
    <row r="14" spans="1:25" ht="15.75">
      <c r="A14" s="528" t="s">
        <v>1</v>
      </c>
      <c r="B14" s="529" t="s">
        <v>17</v>
      </c>
      <c r="C14" s="463">
        <f>SUM(C15:C23)</f>
        <v>552699318</v>
      </c>
      <c r="D14" s="463">
        <f>SUM(D15:D23)</f>
        <v>472943005</v>
      </c>
      <c r="E14" s="463">
        <f>SUM(E15:E23)</f>
        <v>79756313</v>
      </c>
      <c r="F14" s="463">
        <f>SUM(F15:F23)</f>
        <v>440130</v>
      </c>
      <c r="G14" s="463">
        <f>SUM(G15:G23)</f>
        <v>0</v>
      </c>
      <c r="H14" s="463">
        <f>I14+R14</f>
        <v>552259188</v>
      </c>
      <c r="I14" s="463">
        <f>SUM(J14:Q14)</f>
        <v>334204509</v>
      </c>
      <c r="J14" s="463">
        <f aca="true" t="shared" si="6" ref="J14:R14">SUM(J15:J23)</f>
        <v>16963749</v>
      </c>
      <c r="K14" s="463">
        <f t="shared" si="6"/>
        <v>2995688</v>
      </c>
      <c r="L14" s="463">
        <f t="shared" si="6"/>
        <v>0</v>
      </c>
      <c r="M14" s="463">
        <f t="shared" si="6"/>
        <v>303189040</v>
      </c>
      <c r="N14" s="463">
        <f t="shared" si="6"/>
        <v>1400672</v>
      </c>
      <c r="O14" s="463">
        <f t="shared" si="6"/>
        <v>75697</v>
      </c>
      <c r="P14" s="463">
        <f t="shared" si="6"/>
        <v>0</v>
      </c>
      <c r="Q14" s="463">
        <f t="shared" si="6"/>
        <v>9579663</v>
      </c>
      <c r="R14" s="463">
        <f t="shared" si="6"/>
        <v>218054679</v>
      </c>
      <c r="S14" s="463">
        <f>SUM(M14:R14)</f>
        <v>532299751</v>
      </c>
      <c r="T14" s="462">
        <f t="shared" si="2"/>
        <v>5.972222535154366</v>
      </c>
      <c r="U14" s="527">
        <f t="shared" si="3"/>
        <v>19959437</v>
      </c>
      <c r="V14" s="527">
        <f>+V15+V16+V17+V18+V19+V20+V21+V22+V23</f>
        <v>231870861</v>
      </c>
      <c r="W14" s="527">
        <f aca="true" t="shared" si="7" ref="W14:W23">+M14+N14+O14+P14+Q14</f>
        <v>314245072</v>
      </c>
      <c r="X14" s="555">
        <f t="shared" si="4"/>
        <v>0.6051588027178282</v>
      </c>
      <c r="Y14" s="526">
        <f t="shared" si="5"/>
        <v>35.52590034156987</v>
      </c>
    </row>
    <row r="15" spans="1:25" ht="15.75">
      <c r="A15" s="530" t="s">
        <v>43</v>
      </c>
      <c r="B15" s="531" t="s">
        <v>443</v>
      </c>
      <c r="C15" s="463">
        <f>'07'!C23</f>
        <v>150219365</v>
      </c>
      <c r="D15" s="463">
        <f>'07'!D23</f>
        <v>128766036</v>
      </c>
      <c r="E15" s="463">
        <f>'07'!E23</f>
        <v>21453329</v>
      </c>
      <c r="F15" s="463">
        <f>'07'!F23</f>
        <v>171722</v>
      </c>
      <c r="G15" s="463">
        <f>'07'!G23</f>
        <v>0</v>
      </c>
      <c r="H15" s="463">
        <f>'07'!H23</f>
        <v>150047643</v>
      </c>
      <c r="I15" s="463">
        <f>'07'!I23</f>
        <v>92362393</v>
      </c>
      <c r="J15" s="463">
        <f>'07'!J23</f>
        <v>8281319</v>
      </c>
      <c r="K15" s="463">
        <f>'07'!K23</f>
        <v>127123</v>
      </c>
      <c r="L15" s="463">
        <f>'07'!L23</f>
        <v>0</v>
      </c>
      <c r="M15" s="463">
        <f>'07'!M23</f>
        <v>76420370</v>
      </c>
      <c r="N15" s="463">
        <f>'07'!N23</f>
        <v>768921</v>
      </c>
      <c r="O15" s="463">
        <f>'07'!O23</f>
        <v>0</v>
      </c>
      <c r="P15" s="463">
        <f>'07'!P23</f>
        <v>0</v>
      </c>
      <c r="Q15" s="463">
        <f>'07'!Q23</f>
        <v>6764660</v>
      </c>
      <c r="R15" s="463">
        <f>'07'!R23</f>
        <v>57685250</v>
      </c>
      <c r="S15" s="463">
        <f>'07'!S23</f>
        <v>141639201</v>
      </c>
      <c r="T15" s="462">
        <f t="shared" si="2"/>
        <v>9.103750700785762</v>
      </c>
      <c r="U15" s="527">
        <f t="shared" si="3"/>
        <v>8408442</v>
      </c>
      <c r="V15" s="527">
        <v>86894941</v>
      </c>
      <c r="W15" s="527">
        <f t="shared" si="7"/>
        <v>83953951</v>
      </c>
      <c r="X15" s="555">
        <f t="shared" si="4"/>
        <v>0.6155537744768174</v>
      </c>
      <c r="Y15" s="526">
        <f t="shared" si="5"/>
        <v>-3.384535355171022</v>
      </c>
    </row>
    <row r="16" spans="1:25" ht="15.75">
      <c r="A16" s="530" t="s">
        <v>44</v>
      </c>
      <c r="B16" s="532" t="s">
        <v>442</v>
      </c>
      <c r="C16" s="463">
        <f>'07'!C31</f>
        <v>56372267</v>
      </c>
      <c r="D16" s="463">
        <f>'07'!D31</f>
        <v>51028289</v>
      </c>
      <c r="E16" s="463">
        <f>'07'!E31</f>
        <v>5343978</v>
      </c>
      <c r="F16" s="463">
        <f>'07'!F31</f>
        <v>4500</v>
      </c>
      <c r="G16" s="463">
        <f>'07'!G31</f>
        <v>0</v>
      </c>
      <c r="H16" s="463">
        <f>'07'!H31</f>
        <v>56367767</v>
      </c>
      <c r="I16" s="463">
        <f>'07'!I31</f>
        <v>35960999</v>
      </c>
      <c r="J16" s="463">
        <f>'07'!J31</f>
        <v>2377078</v>
      </c>
      <c r="K16" s="463">
        <f>'07'!K31</f>
        <v>622760</v>
      </c>
      <c r="L16" s="463">
        <f>'07'!L31</f>
        <v>0</v>
      </c>
      <c r="M16" s="463">
        <f>'07'!M31</f>
        <v>31777441</v>
      </c>
      <c r="N16" s="463">
        <f>'07'!N31</f>
        <v>121383</v>
      </c>
      <c r="O16" s="463">
        <f>'07'!O31</f>
        <v>42847</v>
      </c>
      <c r="P16" s="463">
        <f>'07'!P31</f>
        <v>0</v>
      </c>
      <c r="Q16" s="463">
        <f>'07'!Q31</f>
        <v>1019490</v>
      </c>
      <c r="R16" s="463">
        <f>'07'!R31</f>
        <v>20406768</v>
      </c>
      <c r="S16" s="463">
        <f>'07'!S31</f>
        <v>53367929</v>
      </c>
      <c r="T16" s="462">
        <f t="shared" si="2"/>
        <v>8.341920645752916</v>
      </c>
      <c r="U16" s="527">
        <f t="shared" si="3"/>
        <v>2999838</v>
      </c>
      <c r="V16" s="527">
        <v>19390422</v>
      </c>
      <c r="W16" s="527">
        <f t="shared" si="7"/>
        <v>32961161</v>
      </c>
      <c r="X16" s="555">
        <f t="shared" si="4"/>
        <v>0.637970970182303</v>
      </c>
      <c r="Y16" s="526">
        <f t="shared" si="5"/>
        <v>69.98681617140669</v>
      </c>
    </row>
    <row r="17" spans="1:25" ht="15.75">
      <c r="A17" s="530" t="s">
        <v>49</v>
      </c>
      <c r="B17" s="531" t="s">
        <v>441</v>
      </c>
      <c r="C17" s="463">
        <f>'07'!C36</f>
        <v>39238714</v>
      </c>
      <c r="D17" s="463">
        <f>'07'!D36</f>
        <v>35737802</v>
      </c>
      <c r="E17" s="463">
        <f>'07'!E36</f>
        <v>3500912</v>
      </c>
      <c r="F17" s="463">
        <f>'07'!F36</f>
        <v>0</v>
      </c>
      <c r="G17" s="463">
        <f>'07'!G36</f>
        <v>0</v>
      </c>
      <c r="H17" s="463">
        <f>'07'!H36</f>
        <v>39238714</v>
      </c>
      <c r="I17" s="463">
        <f>'07'!I36</f>
        <v>15537467</v>
      </c>
      <c r="J17" s="463">
        <f>'07'!J36</f>
        <v>1120445</v>
      </c>
      <c r="K17" s="463">
        <f>'07'!K36</f>
        <v>461673</v>
      </c>
      <c r="L17" s="463">
        <f>'07'!L36</f>
        <v>0</v>
      </c>
      <c r="M17" s="463">
        <f>'07'!M36</f>
        <v>13844509</v>
      </c>
      <c r="N17" s="463">
        <f>'07'!N36</f>
        <v>0</v>
      </c>
      <c r="O17" s="463">
        <f>'07'!O36</f>
        <v>0</v>
      </c>
      <c r="P17" s="463">
        <f>'07'!P36</f>
        <v>0</v>
      </c>
      <c r="Q17" s="463">
        <f>'07'!Q36</f>
        <v>110840</v>
      </c>
      <c r="R17" s="463">
        <f>'07'!R36</f>
        <v>23701247</v>
      </c>
      <c r="S17" s="463">
        <f>'07'!S36</f>
        <v>37656596</v>
      </c>
      <c r="T17" s="462">
        <f t="shared" si="2"/>
        <v>10.182599261514119</v>
      </c>
      <c r="U17" s="527">
        <f t="shared" si="3"/>
        <v>1582118</v>
      </c>
      <c r="V17" s="527">
        <v>16359431</v>
      </c>
      <c r="W17" s="527">
        <f t="shared" si="7"/>
        <v>13955349</v>
      </c>
      <c r="X17" s="555">
        <f t="shared" si="4"/>
        <v>0.39597289044691936</v>
      </c>
      <c r="Y17" s="526">
        <f t="shared" si="5"/>
        <v>-14.695388855517042</v>
      </c>
    </row>
    <row r="18" spans="1:25" ht="15.75">
      <c r="A18" s="530" t="s">
        <v>58</v>
      </c>
      <c r="B18" s="531" t="s">
        <v>440</v>
      </c>
      <c r="C18" s="463">
        <f>'07'!C41</f>
        <v>21419481</v>
      </c>
      <c r="D18" s="463">
        <f>'07'!D41</f>
        <v>19731008</v>
      </c>
      <c r="E18" s="463">
        <f>'07'!E41</f>
        <v>1688473</v>
      </c>
      <c r="F18" s="463">
        <f>'07'!F41</f>
        <v>0</v>
      </c>
      <c r="G18" s="463">
        <f>'07'!G41</f>
        <v>0</v>
      </c>
      <c r="H18" s="463">
        <f>'07'!H41</f>
        <v>21419481</v>
      </c>
      <c r="I18" s="463">
        <f>'07'!I41</f>
        <v>11864564</v>
      </c>
      <c r="J18" s="463">
        <f>'07'!J41</f>
        <v>975701</v>
      </c>
      <c r="K18" s="463">
        <f>'07'!K41</f>
        <v>48597</v>
      </c>
      <c r="L18" s="463">
        <f>'07'!L41</f>
        <v>0</v>
      </c>
      <c r="M18" s="463">
        <f>'07'!M41</f>
        <v>10840266</v>
      </c>
      <c r="N18" s="463">
        <f>'07'!N41</f>
        <v>0</v>
      </c>
      <c r="O18" s="463">
        <f>'07'!O41</f>
        <v>0</v>
      </c>
      <c r="P18" s="463">
        <f>'07'!P41</f>
        <v>0</v>
      </c>
      <c r="Q18" s="463">
        <f>'07'!Q41</f>
        <v>0</v>
      </c>
      <c r="R18" s="463">
        <f>'07'!R41</f>
        <v>9554917</v>
      </c>
      <c r="S18" s="463">
        <f>'07'!S41</f>
        <v>20395183</v>
      </c>
      <c r="T18" s="462">
        <f t="shared" si="2"/>
        <v>8.633254454188119</v>
      </c>
      <c r="U18" s="527">
        <f t="shared" si="3"/>
        <v>1024298</v>
      </c>
      <c r="V18" s="527">
        <v>10000694</v>
      </c>
      <c r="W18" s="527">
        <f t="shared" si="7"/>
        <v>10840266</v>
      </c>
      <c r="X18" s="555">
        <f t="shared" si="4"/>
        <v>0.553914634999793</v>
      </c>
      <c r="Y18" s="526">
        <f t="shared" si="5"/>
        <v>8.395137377466003</v>
      </c>
    </row>
    <row r="19" spans="1:25" ht="15.75">
      <c r="A19" s="530" t="s">
        <v>59</v>
      </c>
      <c r="B19" s="531" t="s">
        <v>439</v>
      </c>
      <c r="C19" s="463">
        <f>'07'!C45</f>
        <v>23064007</v>
      </c>
      <c r="D19" s="463">
        <f>'07'!D45</f>
        <v>21130042</v>
      </c>
      <c r="E19" s="463">
        <f>'07'!E45</f>
        <v>1933965</v>
      </c>
      <c r="F19" s="463">
        <f>'07'!F45</f>
        <v>0</v>
      </c>
      <c r="G19" s="463">
        <f>'07'!G45</f>
        <v>0</v>
      </c>
      <c r="H19" s="463">
        <f>'07'!H45</f>
        <v>23064007</v>
      </c>
      <c r="I19" s="463">
        <f>'07'!I45</f>
        <v>12842921</v>
      </c>
      <c r="J19" s="463">
        <f>'07'!J45</f>
        <v>1118359</v>
      </c>
      <c r="K19" s="463">
        <f>'07'!K45</f>
        <v>703688</v>
      </c>
      <c r="L19" s="463">
        <f>'07'!L45</f>
        <v>0</v>
      </c>
      <c r="M19" s="463">
        <f>'07'!M45</f>
        <v>10588796</v>
      </c>
      <c r="N19" s="463">
        <f>'07'!N45</f>
        <v>432078</v>
      </c>
      <c r="O19" s="463">
        <f>'07'!O45</f>
        <v>0</v>
      </c>
      <c r="P19" s="463">
        <f>'07'!P45</f>
        <v>0</v>
      </c>
      <c r="Q19" s="463">
        <f>'07'!Q45</f>
        <v>0</v>
      </c>
      <c r="R19" s="463">
        <f>'07'!R45</f>
        <v>10221086</v>
      </c>
      <c r="S19" s="463">
        <f>'07'!S45</f>
        <v>21241960</v>
      </c>
      <c r="T19" s="462">
        <f t="shared" si="2"/>
        <v>14.187169725641075</v>
      </c>
      <c r="U19" s="527">
        <f t="shared" si="3"/>
        <v>1822047</v>
      </c>
      <c r="V19" s="527">
        <v>9872192</v>
      </c>
      <c r="W19" s="527">
        <f t="shared" si="7"/>
        <v>11020874</v>
      </c>
      <c r="X19" s="555">
        <f t="shared" si="4"/>
        <v>0.5568382371718843</v>
      </c>
      <c r="Y19" s="526">
        <f t="shared" si="5"/>
        <v>11.635531399713457</v>
      </c>
    </row>
    <row r="20" spans="1:25" ht="15.75">
      <c r="A20" s="530" t="s">
        <v>60</v>
      </c>
      <c r="B20" s="531" t="s">
        <v>438</v>
      </c>
      <c r="C20" s="463">
        <f>'07'!C51</f>
        <v>63891237</v>
      </c>
      <c r="D20" s="463">
        <f>'07'!D51</f>
        <v>59657129</v>
      </c>
      <c r="E20" s="463">
        <f>'07'!E51</f>
        <v>4234108</v>
      </c>
      <c r="F20" s="463">
        <f>'07'!F51</f>
        <v>230208</v>
      </c>
      <c r="G20" s="463">
        <f>'07'!G51</f>
        <v>0</v>
      </c>
      <c r="H20" s="463">
        <f>'07'!H51</f>
        <v>63661029</v>
      </c>
      <c r="I20" s="463">
        <f>'07'!I51</f>
        <v>20760824</v>
      </c>
      <c r="J20" s="463">
        <f>'07'!J51</f>
        <v>696360</v>
      </c>
      <c r="K20" s="463">
        <f>'07'!K51</f>
        <v>418083</v>
      </c>
      <c r="L20" s="463">
        <f>'07'!L51</f>
        <v>0</v>
      </c>
      <c r="M20" s="463">
        <f>'07'!M51</f>
        <v>19646381</v>
      </c>
      <c r="N20" s="463">
        <f>'07'!N51</f>
        <v>0</v>
      </c>
      <c r="O20" s="463">
        <f>'07'!O51</f>
        <v>0</v>
      </c>
      <c r="P20" s="463">
        <f>'07'!P51</f>
        <v>0</v>
      </c>
      <c r="Q20" s="463">
        <f>'07'!Q51</f>
        <v>0</v>
      </c>
      <c r="R20" s="463">
        <f>'07'!R51</f>
        <v>42900205</v>
      </c>
      <c r="S20" s="463">
        <f>'07'!S51</f>
        <v>62546586</v>
      </c>
      <c r="T20" s="462">
        <f t="shared" si="2"/>
        <v>5.368009477851168</v>
      </c>
      <c r="U20" s="527">
        <f t="shared" si="3"/>
        <v>1114443</v>
      </c>
      <c r="V20" s="527">
        <v>19202799</v>
      </c>
      <c r="W20" s="527">
        <f t="shared" si="7"/>
        <v>19646381</v>
      </c>
      <c r="X20" s="555">
        <f t="shared" si="4"/>
        <v>0.32611511824604655</v>
      </c>
      <c r="Y20" s="526">
        <f t="shared" si="5"/>
        <v>2.3099861639961965</v>
      </c>
    </row>
    <row r="21" spans="1:25" ht="15.75">
      <c r="A21" s="530" t="s">
        <v>61</v>
      </c>
      <c r="B21" s="531" t="s">
        <v>437</v>
      </c>
      <c r="C21" s="463">
        <f>'07'!C58</f>
        <v>34109685</v>
      </c>
      <c r="D21" s="463">
        <f>'07'!D58</f>
        <v>30124605</v>
      </c>
      <c r="E21" s="463">
        <f>'07'!E58</f>
        <v>3985080</v>
      </c>
      <c r="F21" s="463">
        <f>'07'!F58</f>
        <v>33700</v>
      </c>
      <c r="G21" s="463">
        <f>'07'!G58</f>
        <v>0</v>
      </c>
      <c r="H21" s="463">
        <f>'07'!H58</f>
        <v>34075985</v>
      </c>
      <c r="I21" s="463">
        <f>'07'!I58</f>
        <v>18911083</v>
      </c>
      <c r="J21" s="463">
        <f>'07'!J58</f>
        <v>700238</v>
      </c>
      <c r="K21" s="463">
        <f>'07'!K58</f>
        <v>328859</v>
      </c>
      <c r="L21" s="463">
        <f>'07'!L58</f>
        <v>0</v>
      </c>
      <c r="M21" s="463">
        <f>'07'!M58</f>
        <v>16377872</v>
      </c>
      <c r="N21" s="463">
        <f>'07'!N58</f>
        <v>2862</v>
      </c>
      <c r="O21" s="463">
        <f>'07'!O58</f>
        <v>0</v>
      </c>
      <c r="P21" s="463">
        <f>'07'!P58</f>
        <v>0</v>
      </c>
      <c r="Q21" s="463">
        <f>'07'!Q58</f>
        <v>1501252</v>
      </c>
      <c r="R21" s="463">
        <f>'07'!R58</f>
        <v>15164902</v>
      </c>
      <c r="S21" s="463">
        <f>'07'!S58</f>
        <v>33046888</v>
      </c>
      <c r="T21" s="462">
        <f t="shared" si="2"/>
        <v>5.441766608501481</v>
      </c>
      <c r="U21" s="527">
        <f t="shared" si="3"/>
        <v>1029097</v>
      </c>
      <c r="V21" s="527">
        <v>15705174</v>
      </c>
      <c r="W21" s="527">
        <f t="shared" si="7"/>
        <v>17881986</v>
      </c>
      <c r="X21" s="555">
        <f t="shared" si="4"/>
        <v>0.5549680515471527</v>
      </c>
      <c r="Y21" s="526">
        <f t="shared" si="5"/>
        <v>13.860476808470889</v>
      </c>
    </row>
    <row r="22" spans="1:25" ht="15.75">
      <c r="A22" s="530" t="s">
        <v>62</v>
      </c>
      <c r="B22" s="531" t="s">
        <v>436</v>
      </c>
      <c r="C22" s="463">
        <f>'07'!C64</f>
        <v>128971223</v>
      </c>
      <c r="D22" s="463">
        <f>'07'!D64</f>
        <v>94878789</v>
      </c>
      <c r="E22" s="463">
        <f>'07'!E64</f>
        <v>34092434</v>
      </c>
      <c r="F22" s="463">
        <f>'07'!F64</f>
        <v>0</v>
      </c>
      <c r="G22" s="463">
        <f>'07'!G64</f>
        <v>0</v>
      </c>
      <c r="H22" s="463">
        <f>'07'!H64</f>
        <v>128971223</v>
      </c>
      <c r="I22" s="463">
        <f>'07'!I64</f>
        <v>112152660</v>
      </c>
      <c r="J22" s="463">
        <f>'07'!J64</f>
        <v>985135</v>
      </c>
      <c r="K22" s="463">
        <f>'07'!K64</f>
        <v>208905</v>
      </c>
      <c r="L22" s="463">
        <f>'07'!L64</f>
        <v>0</v>
      </c>
      <c r="M22" s="463">
        <f>'07'!M64</f>
        <v>110925770</v>
      </c>
      <c r="N22" s="463">
        <f>'07'!N64</f>
        <v>0</v>
      </c>
      <c r="O22" s="463">
        <f>'07'!O64</f>
        <v>32850</v>
      </c>
      <c r="P22" s="463">
        <f>'07'!P64</f>
        <v>0</v>
      </c>
      <c r="Q22" s="463">
        <f>'07'!Q64</f>
        <v>0</v>
      </c>
      <c r="R22" s="463">
        <f>'07'!R64</f>
        <v>16818563</v>
      </c>
      <c r="S22" s="463">
        <f>'07'!S64</f>
        <v>127777183</v>
      </c>
      <c r="T22" s="462">
        <f t="shared" si="2"/>
        <v>1.0646559787346996</v>
      </c>
      <c r="U22" s="527">
        <f t="shared" si="3"/>
        <v>1194040</v>
      </c>
      <c r="V22" s="527">
        <v>46252350</v>
      </c>
      <c r="W22" s="527">
        <f t="shared" si="7"/>
        <v>110958620</v>
      </c>
      <c r="X22" s="555">
        <f t="shared" si="4"/>
        <v>0.8695944520895177</v>
      </c>
      <c r="Y22" s="526">
        <f t="shared" si="5"/>
        <v>139.8983403005469</v>
      </c>
    </row>
    <row r="23" spans="1:25" ht="15.75">
      <c r="A23" s="530" t="s">
        <v>63</v>
      </c>
      <c r="B23" s="531" t="s">
        <v>435</v>
      </c>
      <c r="C23" s="463">
        <f>'07'!C70</f>
        <v>35413339</v>
      </c>
      <c r="D23" s="463">
        <f>'07'!D70</f>
        <v>31889305</v>
      </c>
      <c r="E23" s="463">
        <f>'07'!E70</f>
        <v>3524034</v>
      </c>
      <c r="F23" s="463">
        <f>'07'!F70</f>
        <v>0</v>
      </c>
      <c r="G23" s="463">
        <f>'07'!G70</f>
        <v>0</v>
      </c>
      <c r="H23" s="463">
        <f>'07'!H70</f>
        <v>35413339</v>
      </c>
      <c r="I23" s="463">
        <f>'07'!I70</f>
        <v>13811598</v>
      </c>
      <c r="J23" s="463">
        <f>'07'!J70</f>
        <v>709114</v>
      </c>
      <c r="K23" s="463">
        <f>'07'!K70</f>
        <v>76000</v>
      </c>
      <c r="L23" s="463">
        <f>'07'!L70</f>
        <v>0</v>
      </c>
      <c r="M23" s="463">
        <f>'07'!M70</f>
        <v>12767635</v>
      </c>
      <c r="N23" s="463">
        <f>'07'!N70</f>
        <v>75428</v>
      </c>
      <c r="O23" s="463">
        <f>'07'!O70</f>
        <v>0</v>
      </c>
      <c r="P23" s="463">
        <f>'07'!P70</f>
        <v>0</v>
      </c>
      <c r="Q23" s="463">
        <f>'07'!Q70</f>
        <v>183421</v>
      </c>
      <c r="R23" s="463">
        <f>'07'!R70</f>
        <v>21601741</v>
      </c>
      <c r="S23" s="463">
        <f>'07'!S70</f>
        <v>34628225</v>
      </c>
      <c r="T23" s="462">
        <f t="shared" si="2"/>
        <v>5.684454470800555</v>
      </c>
      <c r="U23" s="527">
        <f t="shared" si="3"/>
        <v>785114</v>
      </c>
      <c r="V23" s="527">
        <v>8192858</v>
      </c>
      <c r="W23" s="527">
        <f t="shared" si="7"/>
        <v>13026484</v>
      </c>
      <c r="X23" s="555">
        <f t="shared" si="4"/>
        <v>0.3900111762971574</v>
      </c>
      <c r="Y23" s="526">
        <f t="shared" si="5"/>
        <v>58.998044394276086</v>
      </c>
    </row>
    <row r="24" spans="1:25" ht="16.5">
      <c r="A24" s="426"/>
      <c r="B24" s="426"/>
      <c r="C24" s="426"/>
      <c r="D24" s="426"/>
      <c r="E24" s="426"/>
      <c r="F24" s="425"/>
      <c r="G24" s="425"/>
      <c r="H24" s="425"/>
      <c r="I24" s="425"/>
      <c r="J24" s="425"/>
      <c r="K24" s="425"/>
      <c r="L24" s="425"/>
      <c r="M24" s="425"/>
      <c r="N24" s="425"/>
      <c r="O24" s="495" t="str">
        <f>'Thong tin'!B8</f>
        <v>Trà Vinh, ngày 30 tháng 11 năm 2017</v>
      </c>
      <c r="P24" s="495"/>
      <c r="Q24" s="495"/>
      <c r="R24" s="495"/>
      <c r="S24" s="495"/>
      <c r="T24" s="495"/>
      <c r="U24" s="449"/>
      <c r="V24" s="449"/>
      <c r="W24" s="449"/>
      <c r="X24" s="449"/>
      <c r="Y24" s="449"/>
    </row>
    <row r="25" spans="1:25" ht="16.5">
      <c r="A25" s="424"/>
      <c r="B25" s="936"/>
      <c r="C25" s="936"/>
      <c r="D25" s="936"/>
      <c r="E25" s="936"/>
      <c r="F25" s="430"/>
      <c r="G25" s="430"/>
      <c r="H25" s="430"/>
      <c r="I25" s="430"/>
      <c r="J25" s="430"/>
      <c r="K25" s="430"/>
      <c r="L25" s="430"/>
      <c r="M25" s="430"/>
      <c r="N25" s="430"/>
      <c r="O25" s="890" t="str">
        <f>'Thong tin'!B7</f>
        <v>PHÓ CỤC TRƯỞNG</v>
      </c>
      <c r="P25" s="890"/>
      <c r="Q25" s="890"/>
      <c r="R25" s="890"/>
      <c r="S25" s="890"/>
      <c r="T25" s="890"/>
      <c r="U25" s="445"/>
      <c r="V25" s="445"/>
      <c r="W25" s="445"/>
      <c r="X25" s="445"/>
      <c r="Y25" s="445"/>
    </row>
    <row r="26" spans="1:25" ht="16.5">
      <c r="A26" s="394"/>
      <c r="B26" s="936" t="s">
        <v>4</v>
      </c>
      <c r="C26" s="936"/>
      <c r="D26" s="936"/>
      <c r="E26" s="936"/>
      <c r="F26" s="396"/>
      <c r="G26" s="396"/>
      <c r="H26" s="396"/>
      <c r="I26" s="396"/>
      <c r="J26" s="396"/>
      <c r="K26" s="396"/>
      <c r="L26" s="396"/>
      <c r="M26" s="396"/>
      <c r="N26" s="396"/>
      <c r="O26" s="890"/>
      <c r="P26" s="890"/>
      <c r="Q26" s="890"/>
      <c r="R26" s="890"/>
      <c r="S26" s="890"/>
      <c r="T26" s="890"/>
      <c r="U26" s="445"/>
      <c r="V26" s="445"/>
      <c r="W26" s="445"/>
      <c r="X26" s="445"/>
      <c r="Y26" s="445"/>
    </row>
    <row r="27" spans="1:25" ht="15.75">
      <c r="A27" s="394"/>
      <c r="B27" s="431"/>
      <c r="C27" s="431"/>
      <c r="D27" s="396"/>
      <c r="E27" s="396"/>
      <c r="F27" s="396"/>
      <c r="G27" s="396"/>
      <c r="H27" s="396"/>
      <c r="I27" s="396"/>
      <c r="J27" s="396"/>
      <c r="K27" s="396"/>
      <c r="L27" s="396"/>
      <c r="M27" s="396"/>
      <c r="N27" s="396"/>
      <c r="O27" s="396"/>
      <c r="P27" s="396"/>
      <c r="Q27" s="396"/>
      <c r="R27" s="396"/>
      <c r="S27" s="431"/>
      <c r="T27" s="431"/>
      <c r="U27" s="431"/>
      <c r="V27" s="431"/>
      <c r="W27" s="431"/>
      <c r="X27" s="431"/>
      <c r="Y27" s="431"/>
    </row>
    <row r="28" spans="1:25" ht="15.75">
      <c r="A28" s="394"/>
      <c r="B28" s="431"/>
      <c r="C28" s="431"/>
      <c r="D28" s="396"/>
      <c r="E28" s="396"/>
      <c r="F28" s="396"/>
      <c r="G28" s="396"/>
      <c r="H28" s="396"/>
      <c r="I28" s="396"/>
      <c r="J28" s="396"/>
      <c r="K28" s="396"/>
      <c r="L28" s="396"/>
      <c r="M28" s="396"/>
      <c r="N28" s="396"/>
      <c r="O28" s="396"/>
      <c r="P28" s="396"/>
      <c r="Q28" s="396"/>
      <c r="R28" s="396"/>
      <c r="S28" s="431"/>
      <c r="T28" s="431"/>
      <c r="U28" s="431"/>
      <c r="V28" s="431"/>
      <c r="W28" s="431"/>
      <c r="X28" s="431"/>
      <c r="Y28" s="431"/>
    </row>
    <row r="29" spans="1:25" ht="15.75">
      <c r="A29" s="422"/>
      <c r="B29" s="431"/>
      <c r="C29" s="431"/>
      <c r="D29" s="396"/>
      <c r="E29" s="396"/>
      <c r="F29" s="396"/>
      <c r="G29" s="396"/>
      <c r="H29" s="396"/>
      <c r="I29" s="396"/>
      <c r="J29" s="396"/>
      <c r="K29" s="396"/>
      <c r="L29" s="396"/>
      <c r="M29" s="396"/>
      <c r="N29" s="396"/>
      <c r="O29" s="396"/>
      <c r="P29" s="396"/>
      <c r="Q29" s="396"/>
      <c r="R29" s="396"/>
      <c r="S29" s="431"/>
      <c r="T29" s="431"/>
      <c r="U29" s="431"/>
      <c r="V29" s="431"/>
      <c r="W29" s="431"/>
      <c r="X29" s="431"/>
      <c r="Y29" s="431"/>
    </row>
    <row r="30" spans="1:25" ht="15.75">
      <c r="A30" s="394"/>
      <c r="B30" s="870"/>
      <c r="C30" s="870"/>
      <c r="D30" s="870"/>
      <c r="E30" s="870"/>
      <c r="F30" s="870"/>
      <c r="G30" s="870"/>
      <c r="H30" s="870"/>
      <c r="I30" s="870"/>
      <c r="J30" s="870"/>
      <c r="K30" s="870"/>
      <c r="L30" s="870"/>
      <c r="M30" s="870"/>
      <c r="N30" s="870"/>
      <c r="O30" s="870"/>
      <c r="P30" s="870"/>
      <c r="Q30" s="396"/>
      <c r="R30" s="396"/>
      <c r="S30" s="431"/>
      <c r="T30" s="431"/>
      <c r="U30" s="431"/>
      <c r="V30" s="431"/>
      <c r="W30" s="431"/>
      <c r="X30" s="431"/>
      <c r="Y30" s="431"/>
    </row>
    <row r="31" spans="1:25" ht="15.75">
      <c r="A31" s="394"/>
      <c r="B31" s="870"/>
      <c r="C31" s="870"/>
      <c r="D31" s="870"/>
      <c r="E31" s="870"/>
      <c r="F31" s="870"/>
      <c r="G31" s="870"/>
      <c r="H31" s="870"/>
      <c r="I31" s="870"/>
      <c r="J31" s="870"/>
      <c r="K31" s="870"/>
      <c r="L31" s="870"/>
      <c r="M31" s="870"/>
      <c r="N31" s="870"/>
      <c r="O31" s="870"/>
      <c r="P31" s="870"/>
      <c r="Q31" s="396"/>
      <c r="R31" s="396"/>
      <c r="S31" s="431"/>
      <c r="T31" s="431"/>
      <c r="U31" s="431"/>
      <c r="V31" s="431"/>
      <c r="W31" s="431"/>
      <c r="X31" s="431"/>
      <c r="Y31" s="431"/>
    </row>
    <row r="32" spans="1:25" ht="15.75">
      <c r="A32" s="394"/>
      <c r="B32" s="870"/>
      <c r="C32" s="870"/>
      <c r="D32" s="870"/>
      <c r="E32" s="870"/>
      <c r="F32" s="870"/>
      <c r="G32" s="870"/>
      <c r="H32" s="870"/>
      <c r="I32" s="870"/>
      <c r="J32" s="870"/>
      <c r="K32" s="870"/>
      <c r="L32" s="870"/>
      <c r="M32" s="870"/>
      <c r="N32" s="870"/>
      <c r="O32" s="870"/>
      <c r="P32" s="870"/>
      <c r="Q32" s="396"/>
      <c r="R32" s="396"/>
      <c r="S32" s="431"/>
      <c r="T32" s="431"/>
      <c r="U32" s="431"/>
      <c r="V32" s="431"/>
      <c r="W32" s="431"/>
      <c r="X32" s="431"/>
      <c r="Y32" s="431"/>
    </row>
    <row r="33" spans="1:25" ht="15.75">
      <c r="A33" s="420"/>
      <c r="B33" s="882" t="s">
        <v>432</v>
      </c>
      <c r="C33" s="882"/>
      <c r="D33" s="882"/>
      <c r="E33" s="882"/>
      <c r="F33" s="432"/>
      <c r="G33" s="432"/>
      <c r="H33" s="432"/>
      <c r="I33" s="432"/>
      <c r="J33" s="432"/>
      <c r="K33" s="432"/>
      <c r="L33" s="432"/>
      <c r="M33" s="432"/>
      <c r="N33" s="432"/>
      <c r="O33" s="882" t="str">
        <f>'Thong tin'!B6</f>
        <v>Trần Việt Hồng</v>
      </c>
      <c r="P33" s="882"/>
      <c r="Q33" s="882"/>
      <c r="R33" s="882"/>
      <c r="S33" s="882"/>
      <c r="T33" s="882"/>
      <c r="U33" s="443"/>
      <c r="V33" s="443"/>
      <c r="W33" s="443"/>
      <c r="X33" s="443"/>
      <c r="Y33" s="443"/>
    </row>
  </sheetData>
  <sheetProtection/>
  <mergeCells count="50">
    <mergeCell ref="L9:L10"/>
    <mergeCell ref="E3:P3"/>
    <mergeCell ref="A3:D3"/>
    <mergeCell ref="O9:O10"/>
    <mergeCell ref="Q3:T3"/>
    <mergeCell ref="M9:M10"/>
    <mergeCell ref="C6:E6"/>
    <mergeCell ref="N9:N10"/>
    <mergeCell ref="H6:R6"/>
    <mergeCell ref="D7:E8"/>
    <mergeCell ref="G6:G10"/>
    <mergeCell ref="A2:D2"/>
    <mergeCell ref="D9:D10"/>
    <mergeCell ref="E2:P2"/>
    <mergeCell ref="C7:C10"/>
    <mergeCell ref="Q2:T2"/>
    <mergeCell ref="Q5:T5"/>
    <mergeCell ref="S6:S10"/>
    <mergeCell ref="I7:Q7"/>
    <mergeCell ref="K9:K10"/>
    <mergeCell ref="E9:E10"/>
    <mergeCell ref="W6:W10"/>
    <mergeCell ref="R7:R10"/>
    <mergeCell ref="X6:X10"/>
    <mergeCell ref="Y6:Y10"/>
    <mergeCell ref="E1:P1"/>
    <mergeCell ref="Q1:T1"/>
    <mergeCell ref="I8:I10"/>
    <mergeCell ref="J8:Q8"/>
    <mergeCell ref="Q4:T4"/>
    <mergeCell ref="B31:P31"/>
    <mergeCell ref="U6:U10"/>
    <mergeCell ref="Q9:Q10"/>
    <mergeCell ref="B25:E25"/>
    <mergeCell ref="O25:T25"/>
    <mergeCell ref="A6:B10"/>
    <mergeCell ref="T6:T10"/>
    <mergeCell ref="P9:P10"/>
    <mergeCell ref="H7:H10"/>
    <mergeCell ref="A11:B11"/>
    <mergeCell ref="B32:P32"/>
    <mergeCell ref="A12:B12"/>
    <mergeCell ref="V6:V10"/>
    <mergeCell ref="B30:P30"/>
    <mergeCell ref="J9:J10"/>
    <mergeCell ref="B33:E33"/>
    <mergeCell ref="O33:T33"/>
    <mergeCell ref="F6:F10"/>
    <mergeCell ref="B26:E26"/>
    <mergeCell ref="O26:T26"/>
  </mergeCells>
  <printOptions/>
  <pageMargins left="0.25" right="0.25" top="0.75" bottom="0" header="0.3" footer="0"/>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W85"/>
  <sheetViews>
    <sheetView showZeros="0" view="pageBreakPreview" zoomScale="80" zoomScaleSheetLayoutView="80" zoomScalePageLayoutView="0" workbookViewId="0" topLeftCell="A8">
      <pane xSplit="2" ySplit="4" topLeftCell="D12" activePane="bottomRight" state="frozen"/>
      <selection pane="topLeft" activeCell="A8" sqref="A8"/>
      <selection pane="topRight" activeCell="C8" sqref="C8"/>
      <selection pane="bottomLeft" activeCell="A12" sqref="A12"/>
      <selection pane="bottomRight" activeCell="S19" sqref="S19"/>
    </sheetView>
  </sheetViews>
  <sheetFormatPr defaultColWidth="9.00390625" defaultRowHeight="15.75"/>
  <cols>
    <col min="1" max="1" width="4.75390625" style="23" customWidth="1"/>
    <col min="2" max="2" width="16.875" style="23" customWidth="1"/>
    <col min="3" max="3" width="7.875" style="23" customWidth="1"/>
    <col min="4" max="4" width="7.25390625" style="23" customWidth="1"/>
    <col min="5" max="5" width="9.625" style="23" customWidth="1"/>
    <col min="6" max="6" width="7.625" style="23" customWidth="1"/>
    <col min="7" max="7" width="7.00390625" style="23" customWidth="1"/>
    <col min="8" max="8" width="8.625" style="23" customWidth="1"/>
    <col min="9" max="9" width="10.75390625" style="23" customWidth="1"/>
    <col min="10" max="10" width="6.375" style="23" customWidth="1"/>
    <col min="11" max="11" width="7.375" style="23" customWidth="1"/>
    <col min="12" max="12" width="8.875" style="23" customWidth="1"/>
    <col min="13" max="13" width="6.875" style="23" customWidth="1"/>
    <col min="14" max="14" width="6.50390625" style="23" customWidth="1"/>
    <col min="15" max="15" width="6.625" style="23" customWidth="1"/>
    <col min="16" max="16" width="6.25390625" style="23" customWidth="1"/>
    <col min="17" max="17" width="6.75390625" style="23" customWidth="1"/>
    <col min="18" max="19" width="8.00390625" style="23" customWidth="1"/>
    <col min="20" max="16384" width="9.00390625" style="23" customWidth="1"/>
  </cols>
  <sheetData>
    <row r="1" spans="1:19" ht="20.25" customHeight="1">
      <c r="A1" s="408" t="s">
        <v>27</v>
      </c>
      <c r="B1" s="408"/>
      <c r="C1" s="408"/>
      <c r="E1" s="977" t="s">
        <v>66</v>
      </c>
      <c r="F1" s="977"/>
      <c r="G1" s="977"/>
      <c r="H1" s="977"/>
      <c r="I1" s="977"/>
      <c r="J1" s="977"/>
      <c r="K1" s="977"/>
      <c r="L1" s="977"/>
      <c r="M1" s="977"/>
      <c r="N1" s="977"/>
      <c r="O1" s="977"/>
      <c r="P1" s="404" t="s">
        <v>529</v>
      </c>
      <c r="Q1" s="404"/>
      <c r="R1" s="404"/>
      <c r="S1" s="404"/>
    </row>
    <row r="2" spans="1:19" ht="17.25" customHeight="1">
      <c r="A2" s="973" t="s">
        <v>243</v>
      </c>
      <c r="B2" s="973"/>
      <c r="C2" s="973"/>
      <c r="D2" s="973"/>
      <c r="E2" s="978" t="s">
        <v>34</v>
      </c>
      <c r="F2" s="978"/>
      <c r="G2" s="978"/>
      <c r="H2" s="978"/>
      <c r="I2" s="978"/>
      <c r="J2" s="978"/>
      <c r="K2" s="978"/>
      <c r="L2" s="978"/>
      <c r="M2" s="978"/>
      <c r="N2" s="978"/>
      <c r="O2" s="978"/>
      <c r="P2" s="975" t="str">
        <f>'Thong tin'!B4</f>
        <v>CTHADS TRÀ VINH</v>
      </c>
      <c r="Q2" s="975"/>
      <c r="R2" s="975"/>
      <c r="S2" s="975"/>
    </row>
    <row r="3" spans="1:19" ht="19.5" customHeight="1">
      <c r="A3" s="973" t="s">
        <v>244</v>
      </c>
      <c r="B3" s="973"/>
      <c r="C3" s="973"/>
      <c r="D3" s="973"/>
      <c r="E3" s="979" t="str">
        <f>'Thong tin'!B3</f>
        <v>02 tháng / năm 2018</v>
      </c>
      <c r="F3" s="979"/>
      <c r="G3" s="979"/>
      <c r="H3" s="979"/>
      <c r="I3" s="979"/>
      <c r="J3" s="979"/>
      <c r="K3" s="979"/>
      <c r="L3" s="979"/>
      <c r="M3" s="979"/>
      <c r="N3" s="979"/>
      <c r="O3" s="979"/>
      <c r="P3" s="404" t="s">
        <v>528</v>
      </c>
      <c r="Q3" s="408"/>
      <c r="R3" s="404"/>
      <c r="S3" s="404"/>
    </row>
    <row r="4" spans="1:19" ht="14.25" customHeight="1">
      <c r="A4" s="397" t="s">
        <v>123</v>
      </c>
      <c r="B4" s="408"/>
      <c r="C4" s="408"/>
      <c r="D4" s="408"/>
      <c r="E4" s="408"/>
      <c r="F4" s="408"/>
      <c r="G4" s="408"/>
      <c r="H4" s="408"/>
      <c r="I4" s="408"/>
      <c r="J4" s="408"/>
      <c r="K4" s="408"/>
      <c r="L4" s="408"/>
      <c r="M4" s="408"/>
      <c r="N4" s="407"/>
      <c r="O4" s="407"/>
      <c r="P4" s="971" t="s">
        <v>303</v>
      </c>
      <c r="Q4" s="971"/>
      <c r="R4" s="971"/>
      <c r="S4" s="971"/>
    </row>
    <row r="5" spans="2:19" ht="21.75" customHeight="1">
      <c r="B5" s="380"/>
      <c r="C5" s="380"/>
      <c r="Q5" s="406" t="s">
        <v>527</v>
      </c>
      <c r="R5" s="405"/>
      <c r="S5" s="405"/>
    </row>
    <row r="6" spans="1:19" ht="19.5" customHeight="1">
      <c r="A6" s="974" t="s">
        <v>57</v>
      </c>
      <c r="B6" s="974"/>
      <c r="C6" s="970" t="s">
        <v>124</v>
      </c>
      <c r="D6" s="970"/>
      <c r="E6" s="970"/>
      <c r="F6" s="972" t="s">
        <v>101</v>
      </c>
      <c r="G6" s="972" t="s">
        <v>125</v>
      </c>
      <c r="H6" s="976" t="s">
        <v>102</v>
      </c>
      <c r="I6" s="976"/>
      <c r="J6" s="976"/>
      <c r="K6" s="976"/>
      <c r="L6" s="976"/>
      <c r="M6" s="976"/>
      <c r="N6" s="976"/>
      <c r="O6" s="976"/>
      <c r="P6" s="976"/>
      <c r="Q6" s="976"/>
      <c r="R6" s="970" t="s">
        <v>248</v>
      </c>
      <c r="S6" s="970" t="s">
        <v>526</v>
      </c>
    </row>
    <row r="7" spans="1:19" s="404" customFormat="1" ht="27" customHeight="1">
      <c r="A7" s="974"/>
      <c r="B7" s="974"/>
      <c r="C7" s="970" t="s">
        <v>42</v>
      </c>
      <c r="D7" s="970" t="s">
        <v>7</v>
      </c>
      <c r="E7" s="970"/>
      <c r="F7" s="972"/>
      <c r="G7" s="972"/>
      <c r="H7" s="972" t="s">
        <v>102</v>
      </c>
      <c r="I7" s="970" t="s">
        <v>103</v>
      </c>
      <c r="J7" s="970"/>
      <c r="K7" s="970"/>
      <c r="L7" s="970"/>
      <c r="M7" s="970"/>
      <c r="N7" s="970"/>
      <c r="O7" s="970"/>
      <c r="P7" s="970"/>
      <c r="Q7" s="972" t="s">
        <v>112</v>
      </c>
      <c r="R7" s="970"/>
      <c r="S7" s="970"/>
    </row>
    <row r="8" spans="1:19" ht="21.75" customHeight="1">
      <c r="A8" s="974"/>
      <c r="B8" s="974"/>
      <c r="C8" s="970"/>
      <c r="D8" s="970" t="s">
        <v>127</v>
      </c>
      <c r="E8" s="970" t="s">
        <v>128</v>
      </c>
      <c r="F8" s="972"/>
      <c r="G8" s="972"/>
      <c r="H8" s="972"/>
      <c r="I8" s="972" t="s">
        <v>525</v>
      </c>
      <c r="J8" s="970" t="s">
        <v>7</v>
      </c>
      <c r="K8" s="970"/>
      <c r="L8" s="970"/>
      <c r="M8" s="970"/>
      <c r="N8" s="970"/>
      <c r="O8" s="970"/>
      <c r="P8" s="970"/>
      <c r="Q8" s="972"/>
      <c r="R8" s="970"/>
      <c r="S8" s="970"/>
    </row>
    <row r="9" spans="1:19" ht="84" customHeight="1">
      <c r="A9" s="974"/>
      <c r="B9" s="974"/>
      <c r="C9" s="970"/>
      <c r="D9" s="970"/>
      <c r="E9" s="970"/>
      <c r="F9" s="972"/>
      <c r="G9" s="972"/>
      <c r="H9" s="972"/>
      <c r="I9" s="972"/>
      <c r="J9" s="458" t="s">
        <v>129</v>
      </c>
      <c r="K9" s="458" t="s">
        <v>130</v>
      </c>
      <c r="L9" s="459" t="s">
        <v>105</v>
      </c>
      <c r="M9" s="459" t="s">
        <v>131</v>
      </c>
      <c r="N9" s="459" t="s">
        <v>108</v>
      </c>
      <c r="O9" s="459" t="s">
        <v>249</v>
      </c>
      <c r="P9" s="459" t="s">
        <v>111</v>
      </c>
      <c r="Q9" s="972"/>
      <c r="R9" s="970"/>
      <c r="S9" s="970"/>
    </row>
    <row r="10" spans="1:19" ht="15" customHeight="1">
      <c r="A10" s="969" t="s">
        <v>6</v>
      </c>
      <c r="B10" s="969"/>
      <c r="C10" s="496">
        <v>1</v>
      </c>
      <c r="D10" s="496">
        <v>2</v>
      </c>
      <c r="E10" s="496">
        <v>3</v>
      </c>
      <c r="F10" s="496">
        <v>4</v>
      </c>
      <c r="G10" s="496">
        <v>5</v>
      </c>
      <c r="H10" s="496">
        <v>6</v>
      </c>
      <c r="I10" s="496">
        <v>7</v>
      </c>
      <c r="J10" s="496">
        <v>8</v>
      </c>
      <c r="K10" s="496">
        <v>9</v>
      </c>
      <c r="L10" s="496">
        <v>10</v>
      </c>
      <c r="M10" s="496">
        <v>11</v>
      </c>
      <c r="N10" s="496">
        <v>12</v>
      </c>
      <c r="O10" s="496">
        <v>13</v>
      </c>
      <c r="P10" s="496">
        <v>14</v>
      </c>
      <c r="Q10" s="496">
        <v>15</v>
      </c>
      <c r="R10" s="496">
        <v>16</v>
      </c>
      <c r="S10" s="496">
        <v>17</v>
      </c>
    </row>
    <row r="11" spans="1:23" ht="18" customHeight="1">
      <c r="A11" s="981" t="s">
        <v>30</v>
      </c>
      <c r="B11" s="981"/>
      <c r="C11" s="497">
        <f aca="true" t="shared" si="0" ref="C11:R11">+C12+C22</f>
        <v>9110</v>
      </c>
      <c r="D11" s="497">
        <f t="shared" si="0"/>
        <v>6946</v>
      </c>
      <c r="E11" s="497">
        <f t="shared" si="0"/>
        <v>2164</v>
      </c>
      <c r="F11" s="497">
        <f t="shared" si="0"/>
        <v>11</v>
      </c>
      <c r="G11" s="497">
        <f t="shared" si="0"/>
        <v>0</v>
      </c>
      <c r="H11" s="497">
        <f t="shared" si="0"/>
        <v>9099</v>
      </c>
      <c r="I11" s="497">
        <f t="shared" si="0"/>
        <v>5943</v>
      </c>
      <c r="J11" s="497">
        <f t="shared" si="0"/>
        <v>1263</v>
      </c>
      <c r="K11" s="497">
        <f t="shared" si="0"/>
        <v>35</v>
      </c>
      <c r="L11" s="497">
        <f t="shared" si="0"/>
        <v>4543</v>
      </c>
      <c r="M11" s="497">
        <f t="shared" si="0"/>
        <v>34</v>
      </c>
      <c r="N11" s="497">
        <f t="shared" si="0"/>
        <v>3</v>
      </c>
      <c r="O11" s="497">
        <f t="shared" si="0"/>
        <v>0</v>
      </c>
      <c r="P11" s="497">
        <f t="shared" si="0"/>
        <v>65</v>
      </c>
      <c r="Q11" s="497">
        <f t="shared" si="0"/>
        <v>3156</v>
      </c>
      <c r="R11" s="497">
        <f t="shared" si="0"/>
        <v>7801</v>
      </c>
      <c r="S11" s="498">
        <f aca="true" t="shared" si="1" ref="S11:S74">(((J11+K11))/I11)*100</f>
        <v>21.84082113410735</v>
      </c>
      <c r="T11" s="433">
        <f>+C11-(F11+G11+H11)</f>
        <v>0</v>
      </c>
      <c r="U11" s="477"/>
      <c r="V11" s="477"/>
      <c r="W11" s="477"/>
    </row>
    <row r="12" spans="1:22" ht="18" customHeight="1">
      <c r="A12" s="541" t="s">
        <v>0</v>
      </c>
      <c r="B12" s="542" t="s">
        <v>134</v>
      </c>
      <c r="C12" s="499">
        <f aca="true" t="shared" si="2" ref="C12:R12">SUM(C13:C21)</f>
        <v>235</v>
      </c>
      <c r="D12" s="499">
        <f t="shared" si="2"/>
        <v>197</v>
      </c>
      <c r="E12" s="499">
        <f t="shared" si="2"/>
        <v>38</v>
      </c>
      <c r="F12" s="499">
        <f t="shared" si="2"/>
        <v>0</v>
      </c>
      <c r="G12" s="499">
        <f t="shared" si="2"/>
        <v>0</v>
      </c>
      <c r="H12" s="499">
        <f t="shared" si="2"/>
        <v>235</v>
      </c>
      <c r="I12" s="499">
        <f t="shared" si="2"/>
        <v>148</v>
      </c>
      <c r="J12" s="499">
        <f t="shared" si="2"/>
        <v>13</v>
      </c>
      <c r="K12" s="499">
        <f t="shared" si="2"/>
        <v>0</v>
      </c>
      <c r="L12" s="499">
        <f t="shared" si="2"/>
        <v>123</v>
      </c>
      <c r="M12" s="499">
        <f t="shared" si="2"/>
        <v>6</v>
      </c>
      <c r="N12" s="499">
        <f t="shared" si="2"/>
        <v>1</v>
      </c>
      <c r="O12" s="499">
        <f t="shared" si="2"/>
        <v>0</v>
      </c>
      <c r="P12" s="499">
        <f t="shared" si="2"/>
        <v>5</v>
      </c>
      <c r="Q12" s="499">
        <f t="shared" si="2"/>
        <v>87</v>
      </c>
      <c r="R12" s="499">
        <f t="shared" si="2"/>
        <v>222</v>
      </c>
      <c r="S12" s="500">
        <f t="shared" si="1"/>
        <v>8.783783783783784</v>
      </c>
      <c r="T12" s="433">
        <f aca="true" t="shared" si="3" ref="T12:T74">+C12-(F12+G12+H12)</f>
        <v>0</v>
      </c>
      <c r="U12" s="477"/>
      <c r="V12" s="477"/>
    </row>
    <row r="13" spans="1:22" ht="18" customHeight="1">
      <c r="A13" s="543" t="s">
        <v>43</v>
      </c>
      <c r="B13" s="560" t="s">
        <v>433</v>
      </c>
      <c r="C13" s="499">
        <f aca="true" t="shared" si="4" ref="C13:C30">+D13+E13</f>
        <v>1</v>
      </c>
      <c r="D13" s="501"/>
      <c r="E13" s="501">
        <v>1</v>
      </c>
      <c r="F13" s="501"/>
      <c r="G13" s="501"/>
      <c r="H13" s="499">
        <f aca="true" t="shared" si="5" ref="H13:H30">SUM(I13,Q13)</f>
        <v>1</v>
      </c>
      <c r="I13" s="499">
        <f aca="true" t="shared" si="6" ref="I13:I30">SUM(J13:P13)</f>
        <v>1</v>
      </c>
      <c r="J13" s="501">
        <v>1</v>
      </c>
      <c r="K13" s="501"/>
      <c r="L13" s="501"/>
      <c r="M13" s="501"/>
      <c r="N13" s="501"/>
      <c r="O13" s="501"/>
      <c r="P13" s="501"/>
      <c r="Q13" s="501"/>
      <c r="R13" s="502">
        <f>+Q13+P13+O13+N13+M13+L13</f>
        <v>0</v>
      </c>
      <c r="S13" s="503">
        <f t="shared" si="1"/>
        <v>100</v>
      </c>
      <c r="T13" s="433">
        <f t="shared" si="3"/>
        <v>0</v>
      </c>
      <c r="U13" s="477"/>
      <c r="V13" s="477"/>
    </row>
    <row r="14" spans="1:22" ht="18" customHeight="1">
      <c r="A14" s="543" t="s">
        <v>44</v>
      </c>
      <c r="B14" s="544" t="s">
        <v>522</v>
      </c>
      <c r="C14" s="499">
        <f t="shared" si="4"/>
        <v>0</v>
      </c>
      <c r="D14" s="501"/>
      <c r="E14" s="501"/>
      <c r="F14" s="501"/>
      <c r="G14" s="501"/>
      <c r="H14" s="499">
        <f t="shared" si="5"/>
        <v>0</v>
      </c>
      <c r="I14" s="499">
        <f t="shared" si="6"/>
        <v>0</v>
      </c>
      <c r="J14" s="501"/>
      <c r="K14" s="501"/>
      <c r="L14" s="501"/>
      <c r="M14" s="501"/>
      <c r="N14" s="501"/>
      <c r="O14" s="501"/>
      <c r="P14" s="501"/>
      <c r="Q14" s="501"/>
      <c r="R14" s="502">
        <f aca="true" t="shared" si="7" ref="R14:R21">+Q14+P14+O14+N14+M14+L14</f>
        <v>0</v>
      </c>
      <c r="S14" s="503" t="e">
        <f t="shared" si="1"/>
        <v>#DIV/0!</v>
      </c>
      <c r="T14" s="433">
        <f t="shared" si="3"/>
        <v>0</v>
      </c>
      <c r="U14" s="477"/>
      <c r="V14" s="477"/>
    </row>
    <row r="15" spans="1:22" ht="18" customHeight="1">
      <c r="A15" s="543" t="s">
        <v>49</v>
      </c>
      <c r="B15" s="560" t="s">
        <v>521</v>
      </c>
      <c r="C15" s="499">
        <f t="shared" si="4"/>
        <v>34</v>
      </c>
      <c r="D15" s="499">
        <v>28</v>
      </c>
      <c r="E15" s="501">
        <v>6</v>
      </c>
      <c r="F15" s="501"/>
      <c r="G15" s="501"/>
      <c r="H15" s="499">
        <f t="shared" si="5"/>
        <v>34</v>
      </c>
      <c r="I15" s="499">
        <f t="shared" si="6"/>
        <v>24</v>
      </c>
      <c r="J15" s="501">
        <v>2</v>
      </c>
      <c r="K15" s="501"/>
      <c r="L15" s="501">
        <v>17</v>
      </c>
      <c r="M15" s="501">
        <v>2</v>
      </c>
      <c r="N15" s="501">
        <v>1</v>
      </c>
      <c r="O15" s="501"/>
      <c r="P15" s="501">
        <v>2</v>
      </c>
      <c r="Q15" s="501">
        <v>10</v>
      </c>
      <c r="R15" s="502">
        <f t="shared" si="7"/>
        <v>32</v>
      </c>
      <c r="S15" s="503">
        <f t="shared" si="1"/>
        <v>8.333333333333332</v>
      </c>
      <c r="T15" s="433">
        <f t="shared" si="3"/>
        <v>0</v>
      </c>
      <c r="U15" s="477"/>
      <c r="V15" s="477"/>
    </row>
    <row r="16" spans="1:22" ht="18" customHeight="1">
      <c r="A16" s="543" t="s">
        <v>58</v>
      </c>
      <c r="B16" s="560" t="s">
        <v>520</v>
      </c>
      <c r="C16" s="499">
        <f t="shared" si="4"/>
        <v>36</v>
      </c>
      <c r="D16" s="499">
        <v>34</v>
      </c>
      <c r="E16" s="501">
        <v>2</v>
      </c>
      <c r="F16" s="501"/>
      <c r="G16" s="501"/>
      <c r="H16" s="499">
        <f t="shared" si="5"/>
        <v>36</v>
      </c>
      <c r="I16" s="499">
        <f t="shared" si="6"/>
        <v>29</v>
      </c>
      <c r="J16" s="501">
        <v>3</v>
      </c>
      <c r="K16" s="501"/>
      <c r="L16" s="501">
        <v>23</v>
      </c>
      <c r="M16" s="501">
        <v>3</v>
      </c>
      <c r="N16" s="501"/>
      <c r="O16" s="501"/>
      <c r="P16" s="501"/>
      <c r="Q16" s="501">
        <v>7</v>
      </c>
      <c r="R16" s="502">
        <f t="shared" si="7"/>
        <v>33</v>
      </c>
      <c r="S16" s="503">
        <f t="shared" si="1"/>
        <v>10.344827586206897</v>
      </c>
      <c r="T16" s="433">
        <f t="shared" si="3"/>
        <v>0</v>
      </c>
      <c r="U16" s="477"/>
      <c r="V16" s="477"/>
    </row>
    <row r="17" spans="1:22" ht="18" customHeight="1">
      <c r="A17" s="543" t="s">
        <v>59</v>
      </c>
      <c r="B17" s="562" t="s">
        <v>519</v>
      </c>
      <c r="C17" s="499">
        <f t="shared" si="4"/>
        <v>32</v>
      </c>
      <c r="D17" s="501">
        <v>29</v>
      </c>
      <c r="E17" s="501">
        <v>3</v>
      </c>
      <c r="F17" s="501"/>
      <c r="G17" s="501"/>
      <c r="H17" s="499">
        <f t="shared" si="5"/>
        <v>32</v>
      </c>
      <c r="I17" s="499">
        <f t="shared" si="6"/>
        <v>13</v>
      </c>
      <c r="J17" s="501"/>
      <c r="K17" s="501"/>
      <c r="L17" s="501">
        <v>11</v>
      </c>
      <c r="M17" s="501"/>
      <c r="N17" s="501"/>
      <c r="O17" s="501"/>
      <c r="P17" s="501">
        <v>2</v>
      </c>
      <c r="Q17" s="501">
        <v>19</v>
      </c>
      <c r="R17" s="502">
        <f t="shared" si="7"/>
        <v>32</v>
      </c>
      <c r="S17" s="503">
        <f t="shared" si="1"/>
        <v>0</v>
      </c>
      <c r="T17" s="433">
        <f t="shared" si="3"/>
        <v>0</v>
      </c>
      <c r="U17" s="477"/>
      <c r="V17" s="477"/>
    </row>
    <row r="18" spans="1:22" ht="18" customHeight="1">
      <c r="A18" s="543" t="s">
        <v>60</v>
      </c>
      <c r="B18" s="560" t="s">
        <v>518</v>
      </c>
      <c r="C18" s="499">
        <f t="shared" si="4"/>
        <v>21</v>
      </c>
      <c r="D18" s="501">
        <v>20</v>
      </c>
      <c r="E18" s="501">
        <v>1</v>
      </c>
      <c r="F18" s="501"/>
      <c r="G18" s="501"/>
      <c r="H18" s="499">
        <f t="shared" si="5"/>
        <v>21</v>
      </c>
      <c r="I18" s="499">
        <f t="shared" si="6"/>
        <v>15</v>
      </c>
      <c r="J18" s="501">
        <v>1</v>
      </c>
      <c r="K18" s="501"/>
      <c r="L18" s="501">
        <v>13</v>
      </c>
      <c r="M18" s="501">
        <v>1</v>
      </c>
      <c r="N18" s="501"/>
      <c r="O18" s="501"/>
      <c r="P18" s="501"/>
      <c r="Q18" s="501">
        <v>6</v>
      </c>
      <c r="R18" s="502">
        <f t="shared" si="7"/>
        <v>20</v>
      </c>
      <c r="S18" s="503">
        <f t="shared" si="1"/>
        <v>6.666666666666667</v>
      </c>
      <c r="T18" s="433">
        <f t="shared" si="3"/>
        <v>0</v>
      </c>
      <c r="U18" s="477"/>
      <c r="V18" s="477"/>
    </row>
    <row r="19" spans="1:22" ht="18" customHeight="1">
      <c r="A19" s="543" t="s">
        <v>61</v>
      </c>
      <c r="B19" s="560" t="s">
        <v>517</v>
      </c>
      <c r="C19" s="499">
        <f t="shared" si="4"/>
        <v>27</v>
      </c>
      <c r="D19" s="501">
        <v>22</v>
      </c>
      <c r="E19" s="501">
        <v>5</v>
      </c>
      <c r="F19" s="501"/>
      <c r="G19" s="501"/>
      <c r="H19" s="499">
        <f t="shared" si="5"/>
        <v>27</v>
      </c>
      <c r="I19" s="499">
        <f t="shared" si="6"/>
        <v>15</v>
      </c>
      <c r="J19" s="501">
        <v>4</v>
      </c>
      <c r="K19" s="501"/>
      <c r="L19" s="501">
        <v>11</v>
      </c>
      <c r="M19" s="501"/>
      <c r="N19" s="501"/>
      <c r="O19" s="501"/>
      <c r="P19" s="501"/>
      <c r="Q19" s="501">
        <v>12</v>
      </c>
      <c r="R19" s="502">
        <f t="shared" si="7"/>
        <v>23</v>
      </c>
      <c r="S19" s="503">
        <f t="shared" si="1"/>
        <v>26.666666666666668</v>
      </c>
      <c r="T19" s="433">
        <f t="shared" si="3"/>
        <v>0</v>
      </c>
      <c r="U19" s="477"/>
      <c r="V19" s="477"/>
    </row>
    <row r="20" spans="1:22" ht="18" customHeight="1">
      <c r="A20" s="543" t="s">
        <v>62</v>
      </c>
      <c r="B20" s="560" t="s">
        <v>557</v>
      </c>
      <c r="C20" s="499">
        <f t="shared" si="4"/>
        <v>36</v>
      </c>
      <c r="D20" s="501">
        <v>33</v>
      </c>
      <c r="E20" s="501">
        <v>3</v>
      </c>
      <c r="F20" s="501"/>
      <c r="G20" s="501"/>
      <c r="H20" s="499">
        <f t="shared" si="5"/>
        <v>36</v>
      </c>
      <c r="I20" s="499">
        <f t="shared" si="6"/>
        <v>21</v>
      </c>
      <c r="J20" s="501">
        <v>2</v>
      </c>
      <c r="K20" s="501"/>
      <c r="L20" s="501">
        <v>18</v>
      </c>
      <c r="M20" s="501"/>
      <c r="N20" s="501"/>
      <c r="O20" s="501"/>
      <c r="P20" s="501">
        <v>1</v>
      </c>
      <c r="Q20" s="501">
        <v>15</v>
      </c>
      <c r="R20" s="502">
        <f t="shared" si="7"/>
        <v>34</v>
      </c>
      <c r="S20" s="503">
        <f t="shared" si="1"/>
        <v>9.523809523809524</v>
      </c>
      <c r="T20" s="433">
        <f t="shared" si="3"/>
        <v>0</v>
      </c>
      <c r="U20" s="477"/>
      <c r="V20" s="477"/>
    </row>
    <row r="21" spans="1:22" ht="18" customHeight="1">
      <c r="A21" s="543" t="s">
        <v>63</v>
      </c>
      <c r="B21" s="560" t="s">
        <v>515</v>
      </c>
      <c r="C21" s="499">
        <f t="shared" si="4"/>
        <v>48</v>
      </c>
      <c r="D21" s="501">
        <v>31</v>
      </c>
      <c r="E21" s="501">
        <v>17</v>
      </c>
      <c r="F21" s="501"/>
      <c r="G21" s="501"/>
      <c r="H21" s="499">
        <f t="shared" si="5"/>
        <v>48</v>
      </c>
      <c r="I21" s="499">
        <f t="shared" si="6"/>
        <v>30</v>
      </c>
      <c r="J21" s="501"/>
      <c r="K21" s="501"/>
      <c r="L21" s="501">
        <v>30</v>
      </c>
      <c r="M21" s="501"/>
      <c r="N21" s="501"/>
      <c r="O21" s="501"/>
      <c r="P21" s="501"/>
      <c r="Q21" s="501">
        <v>18</v>
      </c>
      <c r="R21" s="502">
        <f t="shared" si="7"/>
        <v>48</v>
      </c>
      <c r="S21" s="503">
        <f t="shared" si="1"/>
        <v>0</v>
      </c>
      <c r="T21" s="433">
        <f t="shared" si="3"/>
        <v>0</v>
      </c>
      <c r="U21" s="477"/>
      <c r="V21" s="477"/>
    </row>
    <row r="22" spans="1:22" ht="18" customHeight="1">
      <c r="A22" s="541" t="s">
        <v>1</v>
      </c>
      <c r="B22" s="542" t="s">
        <v>17</v>
      </c>
      <c r="C22" s="499">
        <f t="shared" si="4"/>
        <v>8875</v>
      </c>
      <c r="D22" s="499">
        <f>SUM(D23,D31,D36,D41,D45,D51,D58,D64,D70)</f>
        <v>6749</v>
      </c>
      <c r="E22" s="499">
        <f>SUM(E23,E31,E36,E41,E45,E51,E58,E64,E70)</f>
        <v>2126</v>
      </c>
      <c r="F22" s="499">
        <f>SUM(F23,F31,F36,F41,F45,F51,F58,F64,F70)</f>
        <v>11</v>
      </c>
      <c r="G22" s="499">
        <f>SUM(G23,G31,G36,G41,G45,G51,G58,G64,G70)</f>
        <v>0</v>
      </c>
      <c r="H22" s="499">
        <f t="shared" si="5"/>
        <v>8864</v>
      </c>
      <c r="I22" s="499">
        <f t="shared" si="6"/>
        <v>5795</v>
      </c>
      <c r="J22" s="499">
        <f aca="true" t="shared" si="8" ref="J22:R22">SUM(J23,J31,J36,J41,J45,J51,J58,J64,J70)</f>
        <v>1250</v>
      </c>
      <c r="K22" s="499">
        <f t="shared" si="8"/>
        <v>35</v>
      </c>
      <c r="L22" s="499">
        <f t="shared" si="8"/>
        <v>4420</v>
      </c>
      <c r="M22" s="499">
        <f t="shared" si="8"/>
        <v>28</v>
      </c>
      <c r="N22" s="499">
        <f t="shared" si="8"/>
        <v>2</v>
      </c>
      <c r="O22" s="499">
        <f t="shared" si="8"/>
        <v>0</v>
      </c>
      <c r="P22" s="499">
        <f t="shared" si="8"/>
        <v>60</v>
      </c>
      <c r="Q22" s="499">
        <f t="shared" si="8"/>
        <v>3069</v>
      </c>
      <c r="R22" s="499">
        <f t="shared" si="8"/>
        <v>7579</v>
      </c>
      <c r="S22" s="500">
        <f t="shared" si="1"/>
        <v>22.17428817946506</v>
      </c>
      <c r="T22" s="433">
        <f t="shared" si="3"/>
        <v>0</v>
      </c>
      <c r="U22" s="477"/>
      <c r="V22" s="477"/>
    </row>
    <row r="23" spans="1:22" ht="18" customHeight="1">
      <c r="A23" s="541" t="s">
        <v>43</v>
      </c>
      <c r="B23" s="542" t="s">
        <v>514</v>
      </c>
      <c r="C23" s="499">
        <f t="shared" si="4"/>
        <v>1076</v>
      </c>
      <c r="D23" s="499">
        <f>SUM(D24:D30)</f>
        <v>857</v>
      </c>
      <c r="E23" s="499">
        <f>SUM(E24:E30)</f>
        <v>219</v>
      </c>
      <c r="F23" s="499">
        <f>SUM(F24:F30)</f>
        <v>1</v>
      </c>
      <c r="G23" s="499">
        <f>SUM(G24:G30)</f>
        <v>0</v>
      </c>
      <c r="H23" s="499">
        <f t="shared" si="5"/>
        <v>1075</v>
      </c>
      <c r="I23" s="499">
        <f t="shared" si="6"/>
        <v>668</v>
      </c>
      <c r="J23" s="499">
        <f aca="true" t="shared" si="9" ref="J23:Q23">SUM(J24:J30)</f>
        <v>111</v>
      </c>
      <c r="K23" s="499">
        <f t="shared" si="9"/>
        <v>0</v>
      </c>
      <c r="L23" s="499">
        <f t="shared" si="9"/>
        <v>522</v>
      </c>
      <c r="M23" s="499">
        <f t="shared" si="9"/>
        <v>18</v>
      </c>
      <c r="N23" s="499">
        <f t="shared" si="9"/>
        <v>0</v>
      </c>
      <c r="O23" s="499">
        <f t="shared" si="9"/>
        <v>0</v>
      </c>
      <c r="P23" s="499">
        <f t="shared" si="9"/>
        <v>17</v>
      </c>
      <c r="Q23" s="499">
        <f t="shared" si="9"/>
        <v>407</v>
      </c>
      <c r="R23" s="502">
        <f aca="true" t="shared" si="10" ref="R23:R30">SUM(L23:Q23)</f>
        <v>964</v>
      </c>
      <c r="S23" s="500">
        <f t="shared" si="1"/>
        <v>16.61676646706587</v>
      </c>
      <c r="T23" s="433">
        <f t="shared" si="3"/>
        <v>0</v>
      </c>
      <c r="U23" s="477"/>
      <c r="V23" s="477"/>
    </row>
    <row r="24" spans="1:22" ht="18" customHeight="1">
      <c r="A24" s="543" t="s">
        <v>45</v>
      </c>
      <c r="B24" s="545" t="s">
        <v>513</v>
      </c>
      <c r="C24" s="499">
        <f t="shared" si="4"/>
        <v>69</v>
      </c>
      <c r="D24" s="504">
        <v>42</v>
      </c>
      <c r="E24" s="505">
        <v>27</v>
      </c>
      <c r="F24" s="505"/>
      <c r="G24" s="506"/>
      <c r="H24" s="499">
        <f t="shared" si="5"/>
        <v>69</v>
      </c>
      <c r="I24" s="499">
        <f t="shared" si="6"/>
        <v>40</v>
      </c>
      <c r="J24" s="501">
        <v>12</v>
      </c>
      <c r="K24" s="501"/>
      <c r="L24" s="507">
        <v>27</v>
      </c>
      <c r="M24" s="508">
        <v>0</v>
      </c>
      <c r="N24" s="508">
        <v>0</v>
      </c>
      <c r="O24" s="508">
        <v>0</v>
      </c>
      <c r="P24" s="509">
        <v>1</v>
      </c>
      <c r="Q24" s="505">
        <v>29</v>
      </c>
      <c r="R24" s="502">
        <f t="shared" si="10"/>
        <v>57</v>
      </c>
      <c r="S24" s="503">
        <f t="shared" si="1"/>
        <v>30</v>
      </c>
      <c r="T24" s="433">
        <f t="shared" si="3"/>
        <v>0</v>
      </c>
      <c r="U24" s="477"/>
      <c r="V24" s="477"/>
    </row>
    <row r="25" spans="1:22" ht="18" customHeight="1">
      <c r="A25" s="543" t="s">
        <v>46</v>
      </c>
      <c r="B25" s="546" t="s">
        <v>512</v>
      </c>
      <c r="C25" s="499">
        <f t="shared" si="4"/>
        <v>141</v>
      </c>
      <c r="D25" s="504">
        <v>114</v>
      </c>
      <c r="E25" s="505">
        <v>27</v>
      </c>
      <c r="F25" s="506"/>
      <c r="G25" s="506"/>
      <c r="H25" s="499">
        <f t="shared" si="5"/>
        <v>141</v>
      </c>
      <c r="I25" s="499">
        <f t="shared" si="6"/>
        <v>99</v>
      </c>
      <c r="J25" s="501">
        <v>15</v>
      </c>
      <c r="K25" s="558"/>
      <c r="L25" s="501">
        <v>73</v>
      </c>
      <c r="M25" s="501">
        <v>8</v>
      </c>
      <c r="N25" s="559">
        <v>0</v>
      </c>
      <c r="O25" s="508">
        <v>0</v>
      </c>
      <c r="P25" s="509">
        <v>3</v>
      </c>
      <c r="Q25" s="505">
        <v>42</v>
      </c>
      <c r="R25" s="502">
        <f t="shared" si="10"/>
        <v>126</v>
      </c>
      <c r="S25" s="503">
        <f t="shared" si="1"/>
        <v>15.151515151515152</v>
      </c>
      <c r="T25" s="433">
        <f t="shared" si="3"/>
        <v>0</v>
      </c>
      <c r="U25" s="477"/>
      <c r="V25" s="477"/>
    </row>
    <row r="26" spans="1:22" ht="18" customHeight="1">
      <c r="A26" s="543" t="s">
        <v>104</v>
      </c>
      <c r="B26" s="547" t="s">
        <v>510</v>
      </c>
      <c r="C26" s="499">
        <f t="shared" si="4"/>
        <v>130</v>
      </c>
      <c r="D26" s="504">
        <v>111</v>
      </c>
      <c r="E26" s="505">
        <v>19</v>
      </c>
      <c r="F26" s="506"/>
      <c r="G26" s="506"/>
      <c r="H26" s="499">
        <f t="shared" si="5"/>
        <v>130</v>
      </c>
      <c r="I26" s="499">
        <f t="shared" si="6"/>
        <v>66</v>
      </c>
      <c r="J26" s="501">
        <v>10</v>
      </c>
      <c r="K26" s="505"/>
      <c r="L26" s="507">
        <v>55</v>
      </c>
      <c r="M26" s="509"/>
      <c r="N26" s="508">
        <v>0</v>
      </c>
      <c r="O26" s="508">
        <v>0</v>
      </c>
      <c r="P26" s="509">
        <v>1</v>
      </c>
      <c r="Q26" s="505">
        <v>64</v>
      </c>
      <c r="R26" s="502">
        <f t="shared" si="10"/>
        <v>120</v>
      </c>
      <c r="S26" s="503">
        <f t="shared" si="1"/>
        <v>15.151515151515152</v>
      </c>
      <c r="T26" s="433">
        <f t="shared" si="3"/>
        <v>0</v>
      </c>
      <c r="U26" s="477"/>
      <c r="V26" s="477"/>
    </row>
    <row r="27" spans="1:22" ht="18" customHeight="1">
      <c r="A27" s="543" t="s">
        <v>106</v>
      </c>
      <c r="B27" s="547" t="s">
        <v>511</v>
      </c>
      <c r="C27" s="499">
        <f t="shared" si="4"/>
        <v>224</v>
      </c>
      <c r="D27" s="504">
        <v>161</v>
      </c>
      <c r="E27" s="505">
        <v>63</v>
      </c>
      <c r="F27" s="506"/>
      <c r="G27" s="506"/>
      <c r="H27" s="499">
        <f t="shared" si="5"/>
        <v>224</v>
      </c>
      <c r="I27" s="499">
        <f t="shared" si="6"/>
        <v>152</v>
      </c>
      <c r="J27" s="501">
        <v>45</v>
      </c>
      <c r="K27" s="505"/>
      <c r="L27" s="507">
        <v>100</v>
      </c>
      <c r="M27" s="509">
        <v>1</v>
      </c>
      <c r="N27" s="508"/>
      <c r="O27" s="508"/>
      <c r="P27" s="509">
        <v>6</v>
      </c>
      <c r="Q27" s="505">
        <v>72</v>
      </c>
      <c r="R27" s="502">
        <f t="shared" si="10"/>
        <v>179</v>
      </c>
      <c r="S27" s="503">
        <f t="shared" si="1"/>
        <v>29.605263157894733</v>
      </c>
      <c r="T27" s="433">
        <f t="shared" si="3"/>
        <v>0</v>
      </c>
      <c r="U27" s="477"/>
      <c r="V27" s="477"/>
    </row>
    <row r="28" spans="1:22" ht="18" customHeight="1">
      <c r="A28" s="543" t="s">
        <v>107</v>
      </c>
      <c r="B28" s="547" t="s">
        <v>509</v>
      </c>
      <c r="C28" s="499">
        <f t="shared" si="4"/>
        <v>212</v>
      </c>
      <c r="D28" s="504">
        <f>165+5</f>
        <v>170</v>
      </c>
      <c r="E28" s="505">
        <v>42</v>
      </c>
      <c r="F28" s="506"/>
      <c r="G28" s="506"/>
      <c r="H28" s="499">
        <f t="shared" si="5"/>
        <v>212</v>
      </c>
      <c r="I28" s="499">
        <f t="shared" si="6"/>
        <v>133</v>
      </c>
      <c r="J28" s="501">
        <v>17</v>
      </c>
      <c r="K28" s="505"/>
      <c r="L28" s="507">
        <v>114</v>
      </c>
      <c r="M28" s="509"/>
      <c r="N28" s="508"/>
      <c r="O28" s="508"/>
      <c r="P28" s="509">
        <v>2</v>
      </c>
      <c r="Q28" s="505">
        <v>79</v>
      </c>
      <c r="R28" s="502">
        <f t="shared" si="10"/>
        <v>195</v>
      </c>
      <c r="S28" s="503">
        <f t="shared" si="1"/>
        <v>12.781954887218044</v>
      </c>
      <c r="T28" s="433">
        <f t="shared" si="3"/>
        <v>0</v>
      </c>
      <c r="U28" s="477"/>
      <c r="V28" s="477"/>
    </row>
    <row r="29" spans="1:22" ht="18" customHeight="1">
      <c r="A29" s="543" t="s">
        <v>109</v>
      </c>
      <c r="B29" s="547" t="s">
        <v>552</v>
      </c>
      <c r="C29" s="499">
        <f t="shared" si="4"/>
        <v>155</v>
      </c>
      <c r="D29" s="504">
        <f>164-5-19</f>
        <v>140</v>
      </c>
      <c r="E29" s="505">
        <v>15</v>
      </c>
      <c r="F29" s="506">
        <v>1</v>
      </c>
      <c r="G29" s="506"/>
      <c r="H29" s="499">
        <f t="shared" si="5"/>
        <v>154</v>
      </c>
      <c r="I29" s="499">
        <f t="shared" si="6"/>
        <v>98</v>
      </c>
      <c r="J29" s="501">
        <v>7</v>
      </c>
      <c r="K29" s="505"/>
      <c r="L29" s="507">
        <v>79</v>
      </c>
      <c r="M29" s="509">
        <v>9</v>
      </c>
      <c r="N29" s="508"/>
      <c r="O29" s="508"/>
      <c r="P29" s="509">
        <v>3</v>
      </c>
      <c r="Q29" s="505">
        <v>56</v>
      </c>
      <c r="R29" s="502">
        <f t="shared" si="10"/>
        <v>147</v>
      </c>
      <c r="S29" s="503">
        <f t="shared" si="1"/>
        <v>7.142857142857142</v>
      </c>
      <c r="T29" s="433">
        <f t="shared" si="3"/>
        <v>0</v>
      </c>
      <c r="U29" s="477"/>
      <c r="V29" s="477"/>
    </row>
    <row r="30" spans="1:22" ht="18" customHeight="1">
      <c r="A30" s="543" t="s">
        <v>110</v>
      </c>
      <c r="B30" s="546" t="s">
        <v>508</v>
      </c>
      <c r="C30" s="499">
        <f t="shared" si="4"/>
        <v>145</v>
      </c>
      <c r="D30" s="504">
        <f>100+19</f>
        <v>119</v>
      </c>
      <c r="E30" s="505">
        <v>26</v>
      </c>
      <c r="F30" s="506"/>
      <c r="G30" s="506"/>
      <c r="H30" s="499">
        <f t="shared" si="5"/>
        <v>145</v>
      </c>
      <c r="I30" s="499">
        <f t="shared" si="6"/>
        <v>80</v>
      </c>
      <c r="J30" s="501">
        <v>5</v>
      </c>
      <c r="K30" s="505"/>
      <c r="L30" s="507">
        <v>74</v>
      </c>
      <c r="M30" s="501"/>
      <c r="N30" s="508">
        <v>0</v>
      </c>
      <c r="O30" s="508">
        <v>0</v>
      </c>
      <c r="P30" s="509">
        <v>1</v>
      </c>
      <c r="Q30" s="505">
        <v>65</v>
      </c>
      <c r="R30" s="502">
        <f t="shared" si="10"/>
        <v>140</v>
      </c>
      <c r="S30" s="500">
        <f t="shared" si="1"/>
        <v>6.25</v>
      </c>
      <c r="T30" s="433">
        <f t="shared" si="3"/>
        <v>0</v>
      </c>
      <c r="U30" s="477"/>
      <c r="V30" s="477"/>
    </row>
    <row r="31" spans="1:22" ht="18" customHeight="1">
      <c r="A31" s="541" t="s">
        <v>44</v>
      </c>
      <c r="B31" s="542" t="s">
        <v>507</v>
      </c>
      <c r="C31" s="499">
        <f>C32+C33+C34+C35</f>
        <v>1274</v>
      </c>
      <c r="D31" s="499">
        <f aca="true" t="shared" si="11" ref="D31:R31">D32+D33+D34+D35</f>
        <v>900</v>
      </c>
      <c r="E31" s="499">
        <f t="shared" si="11"/>
        <v>374</v>
      </c>
      <c r="F31" s="499">
        <f t="shared" si="11"/>
        <v>1</v>
      </c>
      <c r="G31" s="499">
        <f t="shared" si="11"/>
        <v>0</v>
      </c>
      <c r="H31" s="499">
        <f t="shared" si="11"/>
        <v>1273</v>
      </c>
      <c r="I31" s="499">
        <f t="shared" si="11"/>
        <v>885</v>
      </c>
      <c r="J31" s="499">
        <f t="shared" si="11"/>
        <v>210</v>
      </c>
      <c r="K31" s="499">
        <f t="shared" si="11"/>
        <v>3</v>
      </c>
      <c r="L31" s="499">
        <f t="shared" si="11"/>
        <v>664</v>
      </c>
      <c r="M31" s="499">
        <f t="shared" si="11"/>
        <v>1</v>
      </c>
      <c r="N31" s="499">
        <f t="shared" si="11"/>
        <v>1</v>
      </c>
      <c r="O31" s="499">
        <f t="shared" si="11"/>
        <v>0</v>
      </c>
      <c r="P31" s="499">
        <f t="shared" si="11"/>
        <v>6</v>
      </c>
      <c r="Q31" s="499">
        <f t="shared" si="11"/>
        <v>388</v>
      </c>
      <c r="R31" s="499">
        <f t="shared" si="11"/>
        <v>1060</v>
      </c>
      <c r="S31" s="500">
        <f t="shared" si="1"/>
        <v>24.06779661016949</v>
      </c>
      <c r="T31" s="433">
        <f t="shared" si="3"/>
        <v>0</v>
      </c>
      <c r="U31" s="477"/>
      <c r="V31" s="477"/>
    </row>
    <row r="32" spans="1:22" ht="18" customHeight="1">
      <c r="A32" s="543" t="s">
        <v>47</v>
      </c>
      <c r="B32" s="545" t="s">
        <v>506</v>
      </c>
      <c r="C32" s="499">
        <f>+D32+E32</f>
        <v>70</v>
      </c>
      <c r="D32" s="504">
        <v>35</v>
      </c>
      <c r="E32" s="505">
        <v>35</v>
      </c>
      <c r="F32" s="505"/>
      <c r="G32" s="510"/>
      <c r="H32" s="501">
        <f>I32+Q32</f>
        <v>70</v>
      </c>
      <c r="I32" s="499">
        <f>J32+K32+L32+M32+N32+O32+P32</f>
        <v>62</v>
      </c>
      <c r="J32" s="501">
        <v>26</v>
      </c>
      <c r="K32" s="501"/>
      <c r="L32" s="501">
        <v>36</v>
      </c>
      <c r="M32" s="508">
        <v>0</v>
      </c>
      <c r="N32" s="508">
        <v>0</v>
      </c>
      <c r="O32" s="508">
        <v>0</v>
      </c>
      <c r="P32" s="508">
        <v>0</v>
      </c>
      <c r="Q32" s="505">
        <v>8</v>
      </c>
      <c r="R32" s="511">
        <f>+Q32+P32+O32+N32+M32+L32</f>
        <v>44</v>
      </c>
      <c r="S32" s="503">
        <f t="shared" si="1"/>
        <v>41.935483870967744</v>
      </c>
      <c r="T32" s="433">
        <f t="shared" si="3"/>
        <v>0</v>
      </c>
      <c r="U32" s="477"/>
      <c r="V32" s="477"/>
    </row>
    <row r="33" spans="1:22" ht="18" customHeight="1">
      <c r="A33" s="543" t="s">
        <v>48</v>
      </c>
      <c r="B33" s="546" t="s">
        <v>505</v>
      </c>
      <c r="C33" s="499">
        <f>+D33+E33</f>
        <v>748</v>
      </c>
      <c r="D33" s="504">
        <v>598</v>
      </c>
      <c r="E33" s="505">
        <v>150</v>
      </c>
      <c r="F33" s="506">
        <v>1</v>
      </c>
      <c r="G33" s="510"/>
      <c r="H33" s="499">
        <f>I33+Q33</f>
        <v>747</v>
      </c>
      <c r="I33" s="499">
        <f>J33+K33+L33+M33+N33+O33+P33</f>
        <v>489</v>
      </c>
      <c r="J33" s="505">
        <v>81</v>
      </c>
      <c r="K33" s="505">
        <v>3</v>
      </c>
      <c r="L33" s="505">
        <v>405</v>
      </c>
      <c r="M33" s="505"/>
      <c r="N33" s="508">
        <v>0</v>
      </c>
      <c r="O33" s="508">
        <v>0</v>
      </c>
      <c r="P33" s="508">
        <v>0</v>
      </c>
      <c r="Q33" s="505">
        <v>258</v>
      </c>
      <c r="R33" s="502">
        <f>+Q33+P33+O33+N33+M33+L33</f>
        <v>663</v>
      </c>
      <c r="S33" s="503">
        <f t="shared" si="1"/>
        <v>17.177914110429448</v>
      </c>
      <c r="T33" s="433">
        <f t="shared" si="3"/>
        <v>0</v>
      </c>
      <c r="U33" s="477"/>
      <c r="V33" s="477"/>
    </row>
    <row r="34" spans="1:22" ht="18" customHeight="1">
      <c r="A34" s="543" t="s">
        <v>504</v>
      </c>
      <c r="B34" s="547" t="s">
        <v>501</v>
      </c>
      <c r="C34" s="499">
        <f>+D34+E34</f>
        <v>160</v>
      </c>
      <c r="D34" s="504">
        <v>107</v>
      </c>
      <c r="E34" s="505">
        <v>53</v>
      </c>
      <c r="F34" s="506"/>
      <c r="G34" s="510"/>
      <c r="H34" s="499">
        <f>I34+Q34</f>
        <v>160</v>
      </c>
      <c r="I34" s="499">
        <f>J34+K34+L34+M34+N34+O34+P34</f>
        <v>97</v>
      </c>
      <c r="J34" s="501">
        <v>18</v>
      </c>
      <c r="K34" s="505"/>
      <c r="L34" s="501">
        <v>76</v>
      </c>
      <c r="M34" s="508">
        <v>0</v>
      </c>
      <c r="N34" s="508"/>
      <c r="O34" s="508"/>
      <c r="P34" s="508">
        <v>3</v>
      </c>
      <c r="Q34" s="505">
        <v>63</v>
      </c>
      <c r="R34" s="502">
        <f>+Q34+P34+O34+N34+M34+L34</f>
        <v>142</v>
      </c>
      <c r="S34" s="503">
        <f t="shared" si="1"/>
        <v>18.556701030927837</v>
      </c>
      <c r="T34" s="433">
        <f t="shared" si="3"/>
        <v>0</v>
      </c>
      <c r="U34" s="477"/>
      <c r="V34" s="477"/>
    </row>
    <row r="35" spans="1:22" ht="18" customHeight="1">
      <c r="A35" s="543" t="s">
        <v>502</v>
      </c>
      <c r="B35" s="546" t="s">
        <v>500</v>
      </c>
      <c r="C35" s="499">
        <f>+D35+E35</f>
        <v>296</v>
      </c>
      <c r="D35" s="504">
        <v>160</v>
      </c>
      <c r="E35" s="505">
        <v>136</v>
      </c>
      <c r="F35" s="506"/>
      <c r="G35" s="510"/>
      <c r="H35" s="499">
        <f>I35+Q35</f>
        <v>296</v>
      </c>
      <c r="I35" s="499">
        <f>J35+K35+L35+M35+N35+O35+P35</f>
        <v>237</v>
      </c>
      <c r="J35" s="505">
        <v>85</v>
      </c>
      <c r="K35" s="505"/>
      <c r="L35" s="505">
        <v>147</v>
      </c>
      <c r="M35" s="505">
        <v>1</v>
      </c>
      <c r="N35" s="508">
        <v>1</v>
      </c>
      <c r="O35" s="508">
        <v>0</v>
      </c>
      <c r="P35" s="508">
        <v>3</v>
      </c>
      <c r="Q35" s="505">
        <v>59</v>
      </c>
      <c r="R35" s="502">
        <f>+Q35+P35+O35+N35+M35+L35</f>
        <v>211</v>
      </c>
      <c r="S35" s="503">
        <f t="shared" si="1"/>
        <v>35.86497890295359</v>
      </c>
      <c r="T35" s="433">
        <f t="shared" si="3"/>
        <v>0</v>
      </c>
      <c r="U35" s="477"/>
      <c r="V35" s="477"/>
    </row>
    <row r="36" spans="1:22" ht="18" customHeight="1">
      <c r="A36" s="541" t="s">
        <v>49</v>
      </c>
      <c r="B36" s="542" t="s">
        <v>499</v>
      </c>
      <c r="C36" s="499">
        <f>C37+C38+C39+C40</f>
        <v>671</v>
      </c>
      <c r="D36" s="499">
        <f>D37+D38+D39+D40</f>
        <v>546</v>
      </c>
      <c r="E36" s="499">
        <f>E37+E38+E39+E40</f>
        <v>125</v>
      </c>
      <c r="F36" s="499">
        <f>F37+F38+F39+F40</f>
        <v>0</v>
      </c>
      <c r="G36" s="499">
        <f>G37+G38+G39+G40</f>
        <v>0</v>
      </c>
      <c r="H36" s="499">
        <f aca="true" t="shared" si="12" ref="H36:R36">+H37+H38+H39+H40</f>
        <v>671</v>
      </c>
      <c r="I36" s="499">
        <f t="shared" si="12"/>
        <v>377</v>
      </c>
      <c r="J36" s="499">
        <f t="shared" si="12"/>
        <v>85</v>
      </c>
      <c r="K36" s="499">
        <f t="shared" si="12"/>
        <v>3</v>
      </c>
      <c r="L36" s="499">
        <f t="shared" si="12"/>
        <v>285</v>
      </c>
      <c r="M36" s="499">
        <f t="shared" si="12"/>
        <v>0</v>
      </c>
      <c r="N36" s="499">
        <f t="shared" si="12"/>
        <v>0</v>
      </c>
      <c r="O36" s="499">
        <f t="shared" si="12"/>
        <v>0</v>
      </c>
      <c r="P36" s="499">
        <f t="shared" si="12"/>
        <v>4</v>
      </c>
      <c r="Q36" s="499">
        <f t="shared" si="12"/>
        <v>294</v>
      </c>
      <c r="R36" s="499">
        <f t="shared" si="12"/>
        <v>583</v>
      </c>
      <c r="S36" s="500">
        <f t="shared" si="1"/>
        <v>23.342175066312997</v>
      </c>
      <c r="T36" s="433">
        <f t="shared" si="3"/>
        <v>0</v>
      </c>
      <c r="U36" s="477"/>
      <c r="V36" s="477"/>
    </row>
    <row r="37" spans="1:22" ht="18" customHeight="1">
      <c r="A37" s="543" t="s">
        <v>113</v>
      </c>
      <c r="B37" s="544" t="s">
        <v>498</v>
      </c>
      <c r="C37" s="499">
        <f aca="true" t="shared" si="13" ref="C37:C74">+D37+E37</f>
        <v>5</v>
      </c>
      <c r="D37" s="512">
        <v>2</v>
      </c>
      <c r="E37" s="512">
        <v>3</v>
      </c>
      <c r="F37" s="512"/>
      <c r="G37" s="501"/>
      <c r="H37" s="499">
        <f>I37+Q37</f>
        <v>5</v>
      </c>
      <c r="I37" s="499">
        <f>J37+K37+L37+M37+N37+O37+P37</f>
        <v>5</v>
      </c>
      <c r="J37" s="512">
        <v>4</v>
      </c>
      <c r="K37" s="512"/>
      <c r="L37" s="512">
        <v>1</v>
      </c>
      <c r="M37" s="512"/>
      <c r="N37" s="512"/>
      <c r="O37" s="512"/>
      <c r="P37" s="515"/>
      <c r="Q37" s="471">
        <v>0</v>
      </c>
      <c r="R37" s="502">
        <f>+Q37+P37+O37+N37+M37+L37</f>
        <v>1</v>
      </c>
      <c r="S37" s="503">
        <f t="shared" si="1"/>
        <v>80</v>
      </c>
      <c r="T37" s="433">
        <f t="shared" si="3"/>
        <v>0</v>
      </c>
      <c r="U37" s="477"/>
      <c r="V37" s="477"/>
    </row>
    <row r="38" spans="1:22" ht="18" customHeight="1">
      <c r="A38" s="543" t="s">
        <v>114</v>
      </c>
      <c r="B38" s="544" t="s">
        <v>497</v>
      </c>
      <c r="C38" s="499">
        <f t="shared" si="13"/>
        <v>174</v>
      </c>
      <c r="D38" s="512">
        <v>136</v>
      </c>
      <c r="E38" s="512">
        <v>38</v>
      </c>
      <c r="F38" s="512"/>
      <c r="G38" s="501"/>
      <c r="H38" s="499">
        <f>I38+Q38</f>
        <v>174</v>
      </c>
      <c r="I38" s="499">
        <f>J38+K38+L38+M38+N38+O38+P38</f>
        <v>97</v>
      </c>
      <c r="J38" s="512">
        <v>26</v>
      </c>
      <c r="K38" s="512">
        <v>1</v>
      </c>
      <c r="L38" s="512">
        <v>70</v>
      </c>
      <c r="M38" s="512"/>
      <c r="N38" s="512"/>
      <c r="O38" s="512"/>
      <c r="P38" s="515"/>
      <c r="Q38" s="471">
        <v>77</v>
      </c>
      <c r="R38" s="502">
        <f>+Q38+P38+O38+N38+M38+L38</f>
        <v>147</v>
      </c>
      <c r="S38" s="503">
        <f t="shared" si="1"/>
        <v>27.835051546391753</v>
      </c>
      <c r="T38" s="433">
        <f t="shared" si="3"/>
        <v>0</v>
      </c>
      <c r="U38" s="477"/>
      <c r="V38" s="477"/>
    </row>
    <row r="39" spans="1:22" ht="18" customHeight="1">
      <c r="A39" s="543" t="s">
        <v>115</v>
      </c>
      <c r="B39" s="544" t="s">
        <v>496</v>
      </c>
      <c r="C39" s="499">
        <f t="shared" si="13"/>
        <v>315</v>
      </c>
      <c r="D39" s="512">
        <v>264</v>
      </c>
      <c r="E39" s="512">
        <v>51</v>
      </c>
      <c r="F39" s="512"/>
      <c r="G39" s="501"/>
      <c r="H39" s="499">
        <f>I39+Q39</f>
        <v>315</v>
      </c>
      <c r="I39" s="499">
        <f>J39+K39+L39+M39+N39+O39+P39</f>
        <v>154</v>
      </c>
      <c r="J39" s="512">
        <v>34</v>
      </c>
      <c r="K39" s="512">
        <v>2</v>
      </c>
      <c r="L39" s="512">
        <v>118</v>
      </c>
      <c r="M39" s="512"/>
      <c r="N39" s="512"/>
      <c r="O39" s="512"/>
      <c r="P39" s="515"/>
      <c r="Q39" s="471">
        <v>161</v>
      </c>
      <c r="R39" s="502">
        <f>+Q39+P39+O39+N39+M39+L39</f>
        <v>279</v>
      </c>
      <c r="S39" s="503">
        <f t="shared" si="1"/>
        <v>23.376623376623375</v>
      </c>
      <c r="T39" s="433">
        <f t="shared" si="3"/>
        <v>0</v>
      </c>
      <c r="U39" s="477"/>
      <c r="V39" s="477"/>
    </row>
    <row r="40" spans="1:22" ht="18" customHeight="1">
      <c r="A40" s="543" t="s">
        <v>495</v>
      </c>
      <c r="B40" s="544" t="s">
        <v>494</v>
      </c>
      <c r="C40" s="499">
        <f t="shared" si="13"/>
        <v>177</v>
      </c>
      <c r="D40" s="512">
        <v>144</v>
      </c>
      <c r="E40" s="512">
        <v>33</v>
      </c>
      <c r="F40" s="512"/>
      <c r="G40" s="501"/>
      <c r="H40" s="499">
        <f>I40+Q40</f>
        <v>177</v>
      </c>
      <c r="I40" s="499">
        <f>J40+K40+L40+M40+N40+O40+P40</f>
        <v>121</v>
      </c>
      <c r="J40" s="512">
        <v>21</v>
      </c>
      <c r="K40" s="512"/>
      <c r="L40" s="512">
        <v>96</v>
      </c>
      <c r="M40" s="512"/>
      <c r="N40" s="512"/>
      <c r="O40" s="512"/>
      <c r="P40" s="515">
        <v>4</v>
      </c>
      <c r="Q40" s="471">
        <v>56</v>
      </c>
      <c r="R40" s="502">
        <f>+Q40+P40+O40+N40+M40+L40</f>
        <v>156</v>
      </c>
      <c r="S40" s="503">
        <f t="shared" si="1"/>
        <v>17.355371900826448</v>
      </c>
      <c r="T40" s="433">
        <f t="shared" si="3"/>
        <v>0</v>
      </c>
      <c r="U40" s="477"/>
      <c r="V40" s="477"/>
    </row>
    <row r="41" spans="1:22" ht="18" customHeight="1">
      <c r="A41" s="541" t="s">
        <v>58</v>
      </c>
      <c r="B41" s="542" t="s">
        <v>493</v>
      </c>
      <c r="C41" s="499">
        <f t="shared" si="13"/>
        <v>537</v>
      </c>
      <c r="D41" s="499">
        <f>SUM(D42:D44)</f>
        <v>363</v>
      </c>
      <c r="E41" s="499">
        <f>SUM(E42:E44)</f>
        <v>174</v>
      </c>
      <c r="F41" s="499">
        <f>SUM(F42:F44)</f>
        <v>0</v>
      </c>
      <c r="G41" s="499">
        <f>SUM(G42:G44)</f>
        <v>0</v>
      </c>
      <c r="H41" s="499">
        <f aca="true" t="shared" si="14" ref="H41:H69">SUM(I41,Q41)</f>
        <v>537</v>
      </c>
      <c r="I41" s="499">
        <f aca="true" t="shared" si="15" ref="I41:I69">SUM(J41:P41)</f>
        <v>364</v>
      </c>
      <c r="J41" s="499">
        <f aca="true" t="shared" si="16" ref="J41:Q41">SUM(J42:J44)</f>
        <v>78</v>
      </c>
      <c r="K41" s="499">
        <f t="shared" si="16"/>
        <v>3</v>
      </c>
      <c r="L41" s="499">
        <f t="shared" si="16"/>
        <v>283</v>
      </c>
      <c r="M41" s="499">
        <f t="shared" si="16"/>
        <v>0</v>
      </c>
      <c r="N41" s="499">
        <f t="shared" si="16"/>
        <v>0</v>
      </c>
      <c r="O41" s="499">
        <f t="shared" si="16"/>
        <v>0</v>
      </c>
      <c r="P41" s="499">
        <f t="shared" si="16"/>
        <v>0</v>
      </c>
      <c r="Q41" s="499">
        <f t="shared" si="16"/>
        <v>173</v>
      </c>
      <c r="R41" s="502">
        <f aca="true" t="shared" si="17" ref="R41:R74">SUM(L41:Q41)</f>
        <v>456</v>
      </c>
      <c r="S41" s="500">
        <f t="shared" si="1"/>
        <v>22.252747252747252</v>
      </c>
      <c r="T41" s="433">
        <f t="shared" si="3"/>
        <v>0</v>
      </c>
      <c r="U41" s="477"/>
      <c r="V41" s="477"/>
    </row>
    <row r="42" spans="1:22" ht="18" customHeight="1">
      <c r="A42" s="543" t="s">
        <v>116</v>
      </c>
      <c r="B42" s="544" t="s">
        <v>492</v>
      </c>
      <c r="C42" s="499">
        <f t="shared" si="13"/>
        <v>83</v>
      </c>
      <c r="D42" s="508">
        <v>70</v>
      </c>
      <c r="E42" s="508">
        <v>13</v>
      </c>
      <c r="F42" s="508"/>
      <c r="G42" s="508"/>
      <c r="H42" s="499">
        <f>+I42+Q42</f>
        <v>83</v>
      </c>
      <c r="I42" s="499">
        <f>+J42+K42+L42+M42+N42+O42+P42</f>
        <v>41</v>
      </c>
      <c r="J42" s="508">
        <v>6</v>
      </c>
      <c r="K42" s="508">
        <v>0</v>
      </c>
      <c r="L42" s="508">
        <v>35</v>
      </c>
      <c r="M42" s="508">
        <v>0</v>
      </c>
      <c r="N42" s="508">
        <v>0</v>
      </c>
      <c r="O42" s="508">
        <v>0</v>
      </c>
      <c r="P42" s="513">
        <v>0</v>
      </c>
      <c r="Q42" s="514">
        <v>42</v>
      </c>
      <c r="R42" s="502">
        <f t="shared" si="17"/>
        <v>77</v>
      </c>
      <c r="S42" s="503">
        <f t="shared" si="1"/>
        <v>14.634146341463413</v>
      </c>
      <c r="T42" s="433">
        <f t="shared" si="3"/>
        <v>0</v>
      </c>
      <c r="U42" s="477"/>
      <c r="V42" s="477"/>
    </row>
    <row r="43" spans="1:22" ht="18" customHeight="1">
      <c r="A43" s="543" t="s">
        <v>117</v>
      </c>
      <c r="B43" s="544" t="s">
        <v>491</v>
      </c>
      <c r="C43" s="499">
        <f t="shared" si="13"/>
        <v>233</v>
      </c>
      <c r="D43" s="508">
        <v>120</v>
      </c>
      <c r="E43" s="508">
        <v>113</v>
      </c>
      <c r="F43" s="508"/>
      <c r="G43" s="508"/>
      <c r="H43" s="499">
        <f>+I43+Q43</f>
        <v>233</v>
      </c>
      <c r="I43" s="499">
        <f>+J43+K43+L43+M43+N43+O43+P43</f>
        <v>184</v>
      </c>
      <c r="J43" s="508">
        <v>43</v>
      </c>
      <c r="K43" s="508">
        <v>2</v>
      </c>
      <c r="L43" s="508">
        <v>139</v>
      </c>
      <c r="M43" s="508">
        <v>0</v>
      </c>
      <c r="N43" s="508">
        <v>0</v>
      </c>
      <c r="O43" s="508">
        <v>0</v>
      </c>
      <c r="P43" s="513">
        <v>0</v>
      </c>
      <c r="Q43" s="514">
        <v>49</v>
      </c>
      <c r="R43" s="502">
        <f t="shared" si="17"/>
        <v>188</v>
      </c>
      <c r="S43" s="503">
        <f t="shared" si="1"/>
        <v>24.456521739130434</v>
      </c>
      <c r="T43" s="433">
        <f t="shared" si="3"/>
        <v>0</v>
      </c>
      <c r="U43" s="477"/>
      <c r="V43" s="477"/>
    </row>
    <row r="44" spans="1:22" ht="18" customHeight="1">
      <c r="A44" s="543" t="s">
        <v>118</v>
      </c>
      <c r="B44" s="544" t="s">
        <v>490</v>
      </c>
      <c r="C44" s="499">
        <f t="shared" si="13"/>
        <v>221</v>
      </c>
      <c r="D44" s="508">
        <v>173</v>
      </c>
      <c r="E44" s="508">
        <v>48</v>
      </c>
      <c r="F44" s="508"/>
      <c r="G44" s="508"/>
      <c r="H44" s="499">
        <f>+I44+Q44</f>
        <v>221</v>
      </c>
      <c r="I44" s="499">
        <f>+J44+K44+L44+M44+N44+O44+P44</f>
        <v>139</v>
      </c>
      <c r="J44" s="508">
        <v>29</v>
      </c>
      <c r="K44" s="508">
        <v>1</v>
      </c>
      <c r="L44" s="508">
        <v>109</v>
      </c>
      <c r="M44" s="508">
        <v>0</v>
      </c>
      <c r="N44" s="508">
        <v>0</v>
      </c>
      <c r="O44" s="508">
        <v>0</v>
      </c>
      <c r="P44" s="513">
        <v>0</v>
      </c>
      <c r="Q44" s="514">
        <v>82</v>
      </c>
      <c r="R44" s="502">
        <f t="shared" si="17"/>
        <v>191</v>
      </c>
      <c r="S44" s="503">
        <f t="shared" si="1"/>
        <v>21.58273381294964</v>
      </c>
      <c r="T44" s="433">
        <f t="shared" si="3"/>
        <v>0</v>
      </c>
      <c r="U44" s="477"/>
      <c r="V44" s="477"/>
    </row>
    <row r="45" spans="1:22" ht="18" customHeight="1">
      <c r="A45" s="541" t="s">
        <v>59</v>
      </c>
      <c r="B45" s="542" t="s">
        <v>489</v>
      </c>
      <c r="C45" s="499">
        <f t="shared" si="13"/>
        <v>679</v>
      </c>
      <c r="D45" s="499">
        <f>SUM(D46:D50)</f>
        <v>410</v>
      </c>
      <c r="E45" s="499">
        <f>SUM(E46:E50)</f>
        <v>269</v>
      </c>
      <c r="F45" s="499">
        <f>SUM(F46:F50)</f>
        <v>0</v>
      </c>
      <c r="G45" s="499">
        <f aca="true" t="shared" si="18" ref="G45:R45">SUM(G46:G50)</f>
        <v>0</v>
      </c>
      <c r="H45" s="499">
        <f t="shared" si="18"/>
        <v>679</v>
      </c>
      <c r="I45" s="499">
        <f t="shared" si="18"/>
        <v>468</v>
      </c>
      <c r="J45" s="499">
        <f t="shared" si="18"/>
        <v>204</v>
      </c>
      <c r="K45" s="499">
        <f t="shared" si="18"/>
        <v>3</v>
      </c>
      <c r="L45" s="499">
        <f t="shared" si="18"/>
        <v>255</v>
      </c>
      <c r="M45" s="499">
        <f t="shared" si="18"/>
        <v>6</v>
      </c>
      <c r="N45" s="499">
        <f t="shared" si="18"/>
        <v>0</v>
      </c>
      <c r="O45" s="499">
        <f t="shared" si="18"/>
        <v>0</v>
      </c>
      <c r="P45" s="499">
        <f t="shared" si="18"/>
        <v>0</v>
      </c>
      <c r="Q45" s="499">
        <f t="shared" si="18"/>
        <v>211</v>
      </c>
      <c r="R45" s="499">
        <f t="shared" si="18"/>
        <v>472</v>
      </c>
      <c r="S45" s="500">
        <f t="shared" si="1"/>
        <v>44.230769230769226</v>
      </c>
      <c r="T45" s="433">
        <f t="shared" si="3"/>
        <v>0</v>
      </c>
      <c r="U45" s="477"/>
      <c r="V45" s="477"/>
    </row>
    <row r="46" spans="1:22" ht="18" customHeight="1">
      <c r="A46" s="543" t="s">
        <v>119</v>
      </c>
      <c r="B46" s="545" t="s">
        <v>488</v>
      </c>
      <c r="C46" s="499">
        <f t="shared" si="13"/>
        <v>118</v>
      </c>
      <c r="D46" s="504">
        <v>33</v>
      </c>
      <c r="E46" s="505">
        <v>85</v>
      </c>
      <c r="F46" s="505"/>
      <c r="G46" s="506"/>
      <c r="H46" s="499">
        <f>+I46+Q46</f>
        <v>118</v>
      </c>
      <c r="I46" s="499">
        <f>+J46+K46+L46+M46+N46+O46+P46</f>
        <v>94</v>
      </c>
      <c r="J46" s="501">
        <v>62</v>
      </c>
      <c r="K46" s="501"/>
      <c r="L46" s="501">
        <v>32</v>
      </c>
      <c r="M46" s="508"/>
      <c r="N46" s="508"/>
      <c r="O46" s="508">
        <v>0</v>
      </c>
      <c r="P46" s="508">
        <v>0</v>
      </c>
      <c r="Q46" s="505">
        <v>24</v>
      </c>
      <c r="R46" s="502">
        <f t="shared" si="17"/>
        <v>56</v>
      </c>
      <c r="S46" s="503">
        <f t="shared" si="1"/>
        <v>65.95744680851064</v>
      </c>
      <c r="T46" s="433">
        <f t="shared" si="3"/>
        <v>0</v>
      </c>
      <c r="U46" s="477"/>
      <c r="V46" s="477"/>
    </row>
    <row r="47" spans="1:22" ht="18" customHeight="1">
      <c r="A47" s="543" t="s">
        <v>120</v>
      </c>
      <c r="B47" s="545" t="s">
        <v>503</v>
      </c>
      <c r="C47" s="499">
        <f t="shared" si="13"/>
        <v>106</v>
      </c>
      <c r="D47" s="504">
        <v>64</v>
      </c>
      <c r="E47" s="505">
        <v>42</v>
      </c>
      <c r="F47" s="505"/>
      <c r="G47" s="506"/>
      <c r="H47" s="499">
        <f>+I47+Q47</f>
        <v>106</v>
      </c>
      <c r="I47" s="499">
        <f>+J47+K47+L47+M47+N47+O47+P47</f>
        <v>62</v>
      </c>
      <c r="J47" s="505">
        <v>32</v>
      </c>
      <c r="K47" s="505">
        <v>1</v>
      </c>
      <c r="L47" s="505">
        <v>29</v>
      </c>
      <c r="M47" s="505"/>
      <c r="N47" s="505"/>
      <c r="O47" s="508">
        <v>0</v>
      </c>
      <c r="P47" s="508">
        <v>0</v>
      </c>
      <c r="Q47" s="505">
        <v>44</v>
      </c>
      <c r="R47" s="502">
        <f t="shared" si="17"/>
        <v>73</v>
      </c>
      <c r="S47" s="503">
        <f t="shared" si="1"/>
        <v>53.2258064516129</v>
      </c>
      <c r="T47" s="433">
        <f t="shared" si="3"/>
        <v>0</v>
      </c>
      <c r="U47" s="477"/>
      <c r="V47" s="477"/>
    </row>
    <row r="48" spans="1:22" ht="18" customHeight="1">
      <c r="A48" s="543" t="s">
        <v>121</v>
      </c>
      <c r="B48" s="547" t="s">
        <v>487</v>
      </c>
      <c r="C48" s="499">
        <f t="shared" si="13"/>
        <v>168</v>
      </c>
      <c r="D48" s="504">
        <v>116</v>
      </c>
      <c r="E48" s="505">
        <v>52</v>
      </c>
      <c r="F48" s="506"/>
      <c r="G48" s="506"/>
      <c r="H48" s="499">
        <f>+I48+Q48</f>
        <v>168</v>
      </c>
      <c r="I48" s="499">
        <f>+J48+K48+L48+M48+N48+O48+P48</f>
        <v>93</v>
      </c>
      <c r="J48" s="501">
        <v>19</v>
      </c>
      <c r="K48" s="505"/>
      <c r="L48" s="501">
        <v>74</v>
      </c>
      <c r="M48" s="508"/>
      <c r="N48" s="508"/>
      <c r="O48" s="508">
        <v>0</v>
      </c>
      <c r="P48" s="508">
        <v>0</v>
      </c>
      <c r="Q48" s="505">
        <v>75</v>
      </c>
      <c r="R48" s="502">
        <f t="shared" si="17"/>
        <v>149</v>
      </c>
      <c r="S48" s="503">
        <f t="shared" si="1"/>
        <v>20.43010752688172</v>
      </c>
      <c r="T48" s="433">
        <f t="shared" si="3"/>
        <v>0</v>
      </c>
      <c r="U48" s="477"/>
      <c r="V48" s="477"/>
    </row>
    <row r="49" spans="1:22" ht="18" customHeight="1">
      <c r="A49" s="543" t="s">
        <v>486</v>
      </c>
      <c r="B49" s="546" t="s">
        <v>485</v>
      </c>
      <c r="C49" s="499">
        <f t="shared" si="13"/>
        <v>103</v>
      </c>
      <c r="D49" s="504">
        <v>60</v>
      </c>
      <c r="E49" s="505">
        <v>43</v>
      </c>
      <c r="F49" s="506"/>
      <c r="G49" s="506"/>
      <c r="H49" s="499">
        <f>+I49+Q49</f>
        <v>103</v>
      </c>
      <c r="I49" s="499">
        <f>+J49+K49+L49+M49+N49+O49+P49</f>
        <v>81</v>
      </c>
      <c r="J49" s="505">
        <v>34</v>
      </c>
      <c r="K49" s="505">
        <v>2</v>
      </c>
      <c r="L49" s="505">
        <v>45</v>
      </c>
      <c r="M49" s="505"/>
      <c r="N49" s="508"/>
      <c r="O49" s="508">
        <v>0</v>
      </c>
      <c r="P49" s="508">
        <v>0</v>
      </c>
      <c r="Q49" s="505">
        <v>22</v>
      </c>
      <c r="R49" s="502">
        <f t="shared" si="17"/>
        <v>67</v>
      </c>
      <c r="S49" s="503">
        <f t="shared" si="1"/>
        <v>44.44444444444444</v>
      </c>
      <c r="T49" s="433">
        <f t="shared" si="3"/>
        <v>0</v>
      </c>
      <c r="U49" s="477"/>
      <c r="V49" s="477"/>
    </row>
    <row r="50" spans="1:22" ht="18" customHeight="1">
      <c r="A50" s="543" t="s">
        <v>553</v>
      </c>
      <c r="B50" s="546" t="s">
        <v>549</v>
      </c>
      <c r="C50" s="499">
        <f t="shared" si="13"/>
        <v>184</v>
      </c>
      <c r="D50" s="504">
        <v>137</v>
      </c>
      <c r="E50" s="505">
        <v>47</v>
      </c>
      <c r="F50" s="506"/>
      <c r="G50" s="506"/>
      <c r="H50" s="499">
        <f>+I50+Q50</f>
        <v>184</v>
      </c>
      <c r="I50" s="499">
        <f>+J50+K50+L50+M50+N50+O50+P50</f>
        <v>138</v>
      </c>
      <c r="J50" s="505">
        <v>57</v>
      </c>
      <c r="K50" s="505"/>
      <c r="L50" s="505">
        <v>75</v>
      </c>
      <c r="M50" s="505">
        <v>6</v>
      </c>
      <c r="N50" s="508"/>
      <c r="O50" s="508"/>
      <c r="P50" s="508"/>
      <c r="Q50" s="505">
        <v>46</v>
      </c>
      <c r="R50" s="502">
        <f t="shared" si="17"/>
        <v>127</v>
      </c>
      <c r="S50" s="503">
        <f t="shared" si="1"/>
        <v>41.30434782608695</v>
      </c>
      <c r="T50" s="433">
        <f t="shared" si="3"/>
        <v>0</v>
      </c>
      <c r="U50" s="477"/>
      <c r="V50" s="477"/>
    </row>
    <row r="51" spans="1:22" ht="18" customHeight="1">
      <c r="A51" s="541" t="s">
        <v>60</v>
      </c>
      <c r="B51" s="542" t="s">
        <v>484</v>
      </c>
      <c r="C51" s="499">
        <f t="shared" si="13"/>
        <v>1351</v>
      </c>
      <c r="D51" s="499">
        <f>SUM(D52:D57)</f>
        <v>1125</v>
      </c>
      <c r="E51" s="499">
        <f>SUM(E52:E57)</f>
        <v>226</v>
      </c>
      <c r="F51" s="499">
        <f>SUM(F52:F57)</f>
        <v>8</v>
      </c>
      <c r="G51" s="499">
        <f>SUM(G52:G57)</f>
        <v>0</v>
      </c>
      <c r="H51" s="499">
        <f t="shared" si="14"/>
        <v>1343</v>
      </c>
      <c r="I51" s="499">
        <f t="shared" si="15"/>
        <v>551</v>
      </c>
      <c r="J51" s="499">
        <f aca="true" t="shared" si="19" ref="J51:Q51">SUM(J52:J57)</f>
        <v>135</v>
      </c>
      <c r="K51" s="499">
        <f t="shared" si="19"/>
        <v>5</v>
      </c>
      <c r="L51" s="499">
        <f t="shared" si="19"/>
        <v>411</v>
      </c>
      <c r="M51" s="499">
        <f t="shared" si="19"/>
        <v>0</v>
      </c>
      <c r="N51" s="499">
        <f t="shared" si="19"/>
        <v>0</v>
      </c>
      <c r="O51" s="499">
        <f t="shared" si="19"/>
        <v>0</v>
      </c>
      <c r="P51" s="499">
        <f t="shared" si="19"/>
        <v>0</v>
      </c>
      <c r="Q51" s="499">
        <f t="shared" si="19"/>
        <v>792</v>
      </c>
      <c r="R51" s="502">
        <f t="shared" si="17"/>
        <v>1203</v>
      </c>
      <c r="S51" s="500">
        <f t="shared" si="1"/>
        <v>25.40834845735027</v>
      </c>
      <c r="T51" s="433">
        <f t="shared" si="3"/>
        <v>0</v>
      </c>
      <c r="U51" s="477"/>
      <c r="V51" s="477"/>
    </row>
    <row r="52" spans="1:22" ht="18" customHeight="1">
      <c r="A52" s="543" t="s">
        <v>483</v>
      </c>
      <c r="B52" s="434" t="s">
        <v>516</v>
      </c>
      <c r="C52" s="499">
        <f t="shared" si="13"/>
        <v>88</v>
      </c>
      <c r="D52" s="512">
        <v>58</v>
      </c>
      <c r="E52" s="512">
        <v>30</v>
      </c>
      <c r="F52" s="512">
        <v>0</v>
      </c>
      <c r="G52" s="501"/>
      <c r="H52" s="499">
        <f t="shared" si="14"/>
        <v>88</v>
      </c>
      <c r="I52" s="499">
        <f t="shared" si="15"/>
        <v>41</v>
      </c>
      <c r="J52" s="512">
        <v>22</v>
      </c>
      <c r="K52" s="512"/>
      <c r="L52" s="512">
        <v>19</v>
      </c>
      <c r="M52" s="512"/>
      <c r="N52" s="512"/>
      <c r="O52" s="512"/>
      <c r="P52" s="515"/>
      <c r="Q52" s="471">
        <v>47</v>
      </c>
      <c r="R52" s="502">
        <f t="shared" si="17"/>
        <v>66</v>
      </c>
      <c r="S52" s="503">
        <f t="shared" si="1"/>
        <v>53.65853658536586</v>
      </c>
      <c r="T52" s="433">
        <f t="shared" si="3"/>
        <v>0</v>
      </c>
      <c r="U52" s="477"/>
      <c r="V52" s="477"/>
    </row>
    <row r="53" spans="1:22" ht="18" customHeight="1">
      <c r="A53" s="543" t="s">
        <v>482</v>
      </c>
      <c r="B53" s="434" t="s">
        <v>481</v>
      </c>
      <c r="C53" s="499">
        <f t="shared" si="13"/>
        <v>471</v>
      </c>
      <c r="D53" s="512">
        <v>390</v>
      </c>
      <c r="E53" s="512">
        <v>81</v>
      </c>
      <c r="F53" s="512">
        <v>0</v>
      </c>
      <c r="G53" s="501"/>
      <c r="H53" s="499">
        <f t="shared" si="14"/>
        <v>471</v>
      </c>
      <c r="I53" s="499">
        <f t="shared" si="15"/>
        <v>178</v>
      </c>
      <c r="J53" s="512">
        <v>45</v>
      </c>
      <c r="K53" s="512">
        <v>2</v>
      </c>
      <c r="L53" s="512">
        <v>131</v>
      </c>
      <c r="M53" s="512"/>
      <c r="N53" s="512"/>
      <c r="O53" s="512"/>
      <c r="P53" s="515"/>
      <c r="Q53" s="471">
        <v>293</v>
      </c>
      <c r="R53" s="502">
        <f t="shared" si="17"/>
        <v>424</v>
      </c>
      <c r="S53" s="503">
        <f t="shared" si="1"/>
        <v>26.40449438202247</v>
      </c>
      <c r="T53" s="433">
        <f t="shared" si="3"/>
        <v>0</v>
      </c>
      <c r="U53" s="477"/>
      <c r="V53" s="477"/>
    </row>
    <row r="54" spans="1:22" ht="18" customHeight="1">
      <c r="A54" s="543" t="s">
        <v>480</v>
      </c>
      <c r="B54" s="434" t="s">
        <v>479</v>
      </c>
      <c r="C54" s="499">
        <f t="shared" si="13"/>
        <v>364</v>
      </c>
      <c r="D54" s="512">
        <v>317</v>
      </c>
      <c r="E54" s="512">
        <v>47</v>
      </c>
      <c r="F54" s="512">
        <v>2</v>
      </c>
      <c r="G54" s="501"/>
      <c r="H54" s="499">
        <f t="shared" si="14"/>
        <v>362</v>
      </c>
      <c r="I54" s="499">
        <f t="shared" si="15"/>
        <v>182</v>
      </c>
      <c r="J54" s="512">
        <v>36</v>
      </c>
      <c r="K54" s="512">
        <v>2</v>
      </c>
      <c r="L54" s="512">
        <v>144</v>
      </c>
      <c r="M54" s="512"/>
      <c r="N54" s="512"/>
      <c r="O54" s="512"/>
      <c r="P54" s="515"/>
      <c r="Q54" s="471">
        <v>180</v>
      </c>
      <c r="R54" s="502">
        <f t="shared" si="17"/>
        <v>324</v>
      </c>
      <c r="S54" s="503">
        <f t="shared" si="1"/>
        <v>20.87912087912088</v>
      </c>
      <c r="T54" s="433">
        <f t="shared" si="3"/>
        <v>0</v>
      </c>
      <c r="U54" s="477"/>
      <c r="V54" s="477"/>
    </row>
    <row r="55" spans="1:22" ht="18" customHeight="1">
      <c r="A55" s="543" t="s">
        <v>478</v>
      </c>
      <c r="B55" s="434" t="s">
        <v>477</v>
      </c>
      <c r="C55" s="499">
        <f t="shared" si="13"/>
        <v>237</v>
      </c>
      <c r="D55" s="512">
        <v>199</v>
      </c>
      <c r="E55" s="512">
        <v>38</v>
      </c>
      <c r="F55" s="512">
        <v>6</v>
      </c>
      <c r="G55" s="501"/>
      <c r="H55" s="499">
        <f t="shared" si="14"/>
        <v>231</v>
      </c>
      <c r="I55" s="499">
        <f t="shared" si="15"/>
        <v>76</v>
      </c>
      <c r="J55" s="512">
        <v>16</v>
      </c>
      <c r="K55" s="512">
        <v>1</v>
      </c>
      <c r="L55" s="512">
        <v>59</v>
      </c>
      <c r="M55" s="512"/>
      <c r="N55" s="512"/>
      <c r="O55" s="512"/>
      <c r="P55" s="515"/>
      <c r="Q55" s="471">
        <v>155</v>
      </c>
      <c r="R55" s="502">
        <f t="shared" si="17"/>
        <v>214</v>
      </c>
      <c r="S55" s="503">
        <f t="shared" si="1"/>
        <v>22.36842105263158</v>
      </c>
      <c r="T55" s="433">
        <f t="shared" si="3"/>
        <v>0</v>
      </c>
      <c r="U55" s="477"/>
      <c r="V55" s="477"/>
    </row>
    <row r="56" spans="1:22" ht="18" customHeight="1">
      <c r="A56" s="543" t="s">
        <v>476</v>
      </c>
      <c r="B56" s="434" t="s">
        <v>545</v>
      </c>
      <c r="C56" s="499">
        <f t="shared" si="13"/>
        <v>122</v>
      </c>
      <c r="D56" s="512">
        <v>110</v>
      </c>
      <c r="E56" s="512">
        <v>12</v>
      </c>
      <c r="F56" s="512">
        <v>0</v>
      </c>
      <c r="G56" s="501"/>
      <c r="H56" s="499">
        <f t="shared" si="14"/>
        <v>122</v>
      </c>
      <c r="I56" s="499">
        <f t="shared" si="15"/>
        <v>40</v>
      </c>
      <c r="J56" s="512">
        <v>12</v>
      </c>
      <c r="K56" s="512"/>
      <c r="L56" s="512">
        <v>28</v>
      </c>
      <c r="M56" s="512"/>
      <c r="N56" s="512"/>
      <c r="O56" s="512"/>
      <c r="P56" s="515"/>
      <c r="Q56" s="471">
        <v>82</v>
      </c>
      <c r="R56" s="502">
        <f t="shared" si="17"/>
        <v>110</v>
      </c>
      <c r="S56" s="503">
        <f t="shared" si="1"/>
        <v>30</v>
      </c>
      <c r="T56" s="433">
        <f t="shared" si="3"/>
        <v>0</v>
      </c>
      <c r="U56" s="477"/>
      <c r="V56" s="477"/>
    </row>
    <row r="57" spans="1:22" ht="18" customHeight="1">
      <c r="A57" s="543" t="s">
        <v>551</v>
      </c>
      <c r="B57" s="557" t="s">
        <v>550</v>
      </c>
      <c r="C57" s="499">
        <f t="shared" si="13"/>
        <v>69</v>
      </c>
      <c r="D57" s="512">
        <v>51</v>
      </c>
      <c r="E57" s="512">
        <v>18</v>
      </c>
      <c r="F57" s="497"/>
      <c r="G57" s="501"/>
      <c r="H57" s="499">
        <f t="shared" si="14"/>
        <v>69</v>
      </c>
      <c r="I57" s="499">
        <f t="shared" si="15"/>
        <v>34</v>
      </c>
      <c r="J57" s="512">
        <v>4</v>
      </c>
      <c r="K57" s="524"/>
      <c r="L57" s="524">
        <v>30</v>
      </c>
      <c r="M57" s="497"/>
      <c r="N57" s="497"/>
      <c r="O57" s="497"/>
      <c r="P57" s="497"/>
      <c r="Q57" s="524">
        <v>35</v>
      </c>
      <c r="R57" s="502">
        <f t="shared" si="17"/>
        <v>65</v>
      </c>
      <c r="S57" s="503">
        <f t="shared" si="1"/>
        <v>11.76470588235294</v>
      </c>
      <c r="T57" s="433">
        <f t="shared" si="3"/>
        <v>0</v>
      </c>
      <c r="U57" s="477"/>
      <c r="V57" s="477"/>
    </row>
    <row r="58" spans="1:22" ht="18" customHeight="1">
      <c r="A58" s="541" t="s">
        <v>61</v>
      </c>
      <c r="B58" s="542" t="s">
        <v>475</v>
      </c>
      <c r="C58" s="499">
        <f t="shared" si="13"/>
        <v>1163</v>
      </c>
      <c r="D58" s="499">
        <f>SUM(D59:D63)</f>
        <v>940</v>
      </c>
      <c r="E58" s="499">
        <f>SUM(E59:E63)</f>
        <v>223</v>
      </c>
      <c r="F58" s="499">
        <f>SUM(F59:F63)</f>
        <v>1</v>
      </c>
      <c r="G58" s="499">
        <f>SUM(G59:G63)</f>
        <v>0</v>
      </c>
      <c r="H58" s="499">
        <f t="shared" si="14"/>
        <v>1162</v>
      </c>
      <c r="I58" s="499">
        <f t="shared" si="15"/>
        <v>754</v>
      </c>
      <c r="J58" s="499">
        <f aca="true" t="shared" si="20" ref="J58:Q58">SUM(J59:J63)</f>
        <v>137</v>
      </c>
      <c r="K58" s="499">
        <f t="shared" si="20"/>
        <v>9</v>
      </c>
      <c r="L58" s="499">
        <f t="shared" si="20"/>
        <v>576</v>
      </c>
      <c r="M58" s="499">
        <f t="shared" si="20"/>
        <v>1</v>
      </c>
      <c r="N58" s="499">
        <f t="shared" si="20"/>
        <v>0</v>
      </c>
      <c r="O58" s="499">
        <f t="shared" si="20"/>
        <v>0</v>
      </c>
      <c r="P58" s="499">
        <f t="shared" si="20"/>
        <v>31</v>
      </c>
      <c r="Q58" s="499">
        <f t="shared" si="20"/>
        <v>408</v>
      </c>
      <c r="R58" s="502">
        <f t="shared" si="17"/>
        <v>1016</v>
      </c>
      <c r="S58" s="500">
        <f t="shared" si="1"/>
        <v>19.363395225464192</v>
      </c>
      <c r="T58" s="433">
        <f t="shared" si="3"/>
        <v>0</v>
      </c>
      <c r="U58" s="477"/>
      <c r="V58" s="477"/>
    </row>
    <row r="59" spans="1:22" ht="18" customHeight="1">
      <c r="A59" s="543" t="s">
        <v>474</v>
      </c>
      <c r="B59" s="544" t="s">
        <v>473</v>
      </c>
      <c r="C59" s="499">
        <f t="shared" si="13"/>
        <v>145</v>
      </c>
      <c r="D59" s="501">
        <v>94</v>
      </c>
      <c r="E59" s="501">
        <v>51</v>
      </c>
      <c r="F59" s="501"/>
      <c r="G59" s="501"/>
      <c r="H59" s="499">
        <f t="shared" si="14"/>
        <v>145</v>
      </c>
      <c r="I59" s="499">
        <f t="shared" si="15"/>
        <v>94</v>
      </c>
      <c r="J59" s="501">
        <v>24</v>
      </c>
      <c r="K59" s="501"/>
      <c r="L59" s="501">
        <v>70</v>
      </c>
      <c r="M59" s="501"/>
      <c r="N59" s="501"/>
      <c r="O59" s="501"/>
      <c r="P59" s="501"/>
      <c r="Q59" s="501">
        <v>51</v>
      </c>
      <c r="R59" s="502">
        <f t="shared" si="17"/>
        <v>121</v>
      </c>
      <c r="S59" s="503">
        <f t="shared" si="1"/>
        <v>25.53191489361702</v>
      </c>
      <c r="T59" s="433">
        <f t="shared" si="3"/>
        <v>0</v>
      </c>
      <c r="U59" s="477"/>
      <c r="V59" s="477"/>
    </row>
    <row r="60" spans="1:22" ht="18" customHeight="1">
      <c r="A60" s="543" t="s">
        <v>472</v>
      </c>
      <c r="B60" s="544" t="s">
        <v>471</v>
      </c>
      <c r="C60" s="499">
        <f t="shared" si="13"/>
        <v>380</v>
      </c>
      <c r="D60" s="501">
        <v>354</v>
      </c>
      <c r="E60" s="501">
        <v>26</v>
      </c>
      <c r="F60" s="501"/>
      <c r="G60" s="501"/>
      <c r="H60" s="499">
        <f t="shared" si="14"/>
        <v>380</v>
      </c>
      <c r="I60" s="499">
        <f t="shared" si="15"/>
        <v>243</v>
      </c>
      <c r="J60" s="501">
        <v>21</v>
      </c>
      <c r="K60" s="501">
        <v>2</v>
      </c>
      <c r="L60" s="501">
        <v>220</v>
      </c>
      <c r="M60" s="501"/>
      <c r="N60" s="501"/>
      <c r="O60" s="501"/>
      <c r="P60" s="501"/>
      <c r="Q60" s="501">
        <v>137</v>
      </c>
      <c r="R60" s="502">
        <f t="shared" si="17"/>
        <v>357</v>
      </c>
      <c r="S60" s="503">
        <f t="shared" si="1"/>
        <v>9.465020576131687</v>
      </c>
      <c r="T60" s="433">
        <f t="shared" si="3"/>
        <v>0</v>
      </c>
      <c r="U60" s="477"/>
      <c r="V60" s="477"/>
    </row>
    <row r="61" spans="1:22" ht="18" customHeight="1">
      <c r="A61" s="543" t="s">
        <v>470</v>
      </c>
      <c r="B61" s="544" t="s">
        <v>469</v>
      </c>
      <c r="C61" s="499">
        <f t="shared" si="13"/>
        <v>120</v>
      </c>
      <c r="D61" s="501">
        <v>65</v>
      </c>
      <c r="E61" s="501">
        <v>55</v>
      </c>
      <c r="F61" s="501"/>
      <c r="G61" s="501"/>
      <c r="H61" s="499">
        <f t="shared" si="14"/>
        <v>120</v>
      </c>
      <c r="I61" s="499">
        <f t="shared" si="15"/>
        <v>69</v>
      </c>
      <c r="J61" s="501">
        <v>40</v>
      </c>
      <c r="K61" s="501">
        <v>1</v>
      </c>
      <c r="L61" s="501">
        <v>27</v>
      </c>
      <c r="M61" s="501">
        <v>1</v>
      </c>
      <c r="N61" s="501"/>
      <c r="O61" s="501"/>
      <c r="P61" s="501"/>
      <c r="Q61" s="501">
        <v>51</v>
      </c>
      <c r="R61" s="502">
        <f t="shared" si="17"/>
        <v>79</v>
      </c>
      <c r="S61" s="503">
        <f t="shared" si="1"/>
        <v>59.42028985507246</v>
      </c>
      <c r="T61" s="433">
        <f t="shared" si="3"/>
        <v>0</v>
      </c>
      <c r="U61" s="477"/>
      <c r="V61" s="477"/>
    </row>
    <row r="62" spans="1:22" ht="18" customHeight="1">
      <c r="A62" s="543" t="s">
        <v>468</v>
      </c>
      <c r="B62" s="544" t="s">
        <v>467</v>
      </c>
      <c r="C62" s="499">
        <f t="shared" si="13"/>
        <v>342</v>
      </c>
      <c r="D62" s="501">
        <v>302</v>
      </c>
      <c r="E62" s="501">
        <v>40</v>
      </c>
      <c r="F62" s="501"/>
      <c r="G62" s="501"/>
      <c r="H62" s="499">
        <f t="shared" si="14"/>
        <v>342</v>
      </c>
      <c r="I62" s="499">
        <f t="shared" si="15"/>
        <v>221</v>
      </c>
      <c r="J62" s="501">
        <v>30</v>
      </c>
      <c r="K62" s="501">
        <v>1</v>
      </c>
      <c r="L62" s="501">
        <v>178</v>
      </c>
      <c r="M62" s="501"/>
      <c r="N62" s="501"/>
      <c r="O62" s="501"/>
      <c r="P62" s="501">
        <v>12</v>
      </c>
      <c r="Q62" s="501">
        <v>121</v>
      </c>
      <c r="R62" s="502">
        <f t="shared" si="17"/>
        <v>311</v>
      </c>
      <c r="S62" s="503">
        <f t="shared" si="1"/>
        <v>14.027149321266968</v>
      </c>
      <c r="T62" s="433">
        <f t="shared" si="3"/>
        <v>0</v>
      </c>
      <c r="U62" s="477"/>
      <c r="V62" s="477"/>
    </row>
    <row r="63" spans="1:22" ht="18" customHeight="1">
      <c r="A63" s="543" t="s">
        <v>466</v>
      </c>
      <c r="B63" s="544" t="s">
        <v>465</v>
      </c>
      <c r="C63" s="499">
        <f t="shared" si="13"/>
        <v>176</v>
      </c>
      <c r="D63" s="501">
        <v>125</v>
      </c>
      <c r="E63" s="501">
        <f>13+38</f>
        <v>51</v>
      </c>
      <c r="F63" s="501">
        <v>1</v>
      </c>
      <c r="G63" s="501"/>
      <c r="H63" s="499">
        <f t="shared" si="14"/>
        <v>175</v>
      </c>
      <c r="I63" s="499">
        <f t="shared" si="15"/>
        <v>127</v>
      </c>
      <c r="J63" s="501">
        <v>22</v>
      </c>
      <c r="K63" s="501">
        <v>5</v>
      </c>
      <c r="L63" s="501">
        <v>81</v>
      </c>
      <c r="M63" s="501"/>
      <c r="N63" s="501"/>
      <c r="O63" s="501"/>
      <c r="P63" s="501">
        <v>19</v>
      </c>
      <c r="Q63" s="501">
        <v>48</v>
      </c>
      <c r="R63" s="502">
        <f t="shared" si="17"/>
        <v>148</v>
      </c>
      <c r="S63" s="503">
        <f t="shared" si="1"/>
        <v>21.25984251968504</v>
      </c>
      <c r="T63" s="433">
        <f t="shared" si="3"/>
        <v>0</v>
      </c>
      <c r="U63" s="477"/>
      <c r="V63" s="477"/>
    </row>
    <row r="64" spans="1:22" ht="18" customHeight="1">
      <c r="A64" s="541" t="s">
        <v>62</v>
      </c>
      <c r="B64" s="542" t="s">
        <v>464</v>
      </c>
      <c r="C64" s="499">
        <f t="shared" si="13"/>
        <v>1456</v>
      </c>
      <c r="D64" s="499">
        <f>SUM(D65:D69)</f>
        <v>1145</v>
      </c>
      <c r="E64" s="499">
        <f>SUM(E65:E69)</f>
        <v>311</v>
      </c>
      <c r="F64" s="499">
        <f>SUM(F65:F69)</f>
        <v>0</v>
      </c>
      <c r="G64" s="499">
        <f>SUM(G65:G69)</f>
        <v>0</v>
      </c>
      <c r="H64" s="499">
        <f t="shared" si="14"/>
        <v>1456</v>
      </c>
      <c r="I64" s="499">
        <f t="shared" si="15"/>
        <v>1247</v>
      </c>
      <c r="J64" s="499">
        <f aca="true" t="shared" si="21" ref="J64:P64">+J65+J66+J67+J68+J69</f>
        <v>142</v>
      </c>
      <c r="K64" s="499">
        <f t="shared" si="21"/>
        <v>8</v>
      </c>
      <c r="L64" s="499">
        <f t="shared" si="21"/>
        <v>1096</v>
      </c>
      <c r="M64" s="499">
        <f t="shared" si="21"/>
        <v>0</v>
      </c>
      <c r="N64" s="499">
        <f t="shared" si="21"/>
        <v>1</v>
      </c>
      <c r="O64" s="499">
        <f t="shared" si="21"/>
        <v>0</v>
      </c>
      <c r="P64" s="499">
        <f t="shared" si="21"/>
        <v>0</v>
      </c>
      <c r="Q64" s="499">
        <f>SUM(Q65:Q69)</f>
        <v>209</v>
      </c>
      <c r="R64" s="502">
        <f t="shared" si="17"/>
        <v>1306</v>
      </c>
      <c r="S64" s="500">
        <f t="shared" si="1"/>
        <v>12.028869286287089</v>
      </c>
      <c r="T64" s="433">
        <f t="shared" si="3"/>
        <v>0</v>
      </c>
      <c r="U64" s="477"/>
      <c r="V64" s="477"/>
    </row>
    <row r="65" spans="1:22" ht="18" customHeight="1">
      <c r="A65" s="543" t="s">
        <v>463</v>
      </c>
      <c r="B65" s="548" t="s">
        <v>462</v>
      </c>
      <c r="C65" s="499">
        <f t="shared" si="13"/>
        <v>631</v>
      </c>
      <c r="D65" s="556">
        <v>565</v>
      </c>
      <c r="E65" s="556">
        <v>66</v>
      </c>
      <c r="F65" s="516"/>
      <c r="G65" s="510"/>
      <c r="H65" s="499">
        <f t="shared" si="14"/>
        <v>631</v>
      </c>
      <c r="I65" s="499">
        <f t="shared" si="15"/>
        <v>578</v>
      </c>
      <c r="J65" s="556">
        <v>38</v>
      </c>
      <c r="K65" s="556">
        <v>1</v>
      </c>
      <c r="L65" s="556">
        <v>539</v>
      </c>
      <c r="M65" s="556"/>
      <c r="N65" s="556"/>
      <c r="O65" s="556"/>
      <c r="P65" s="556"/>
      <c r="Q65" s="556">
        <v>53</v>
      </c>
      <c r="R65" s="502">
        <f t="shared" si="17"/>
        <v>592</v>
      </c>
      <c r="S65" s="503">
        <f t="shared" si="1"/>
        <v>6.747404844290658</v>
      </c>
      <c r="T65" s="433">
        <f t="shared" si="3"/>
        <v>0</v>
      </c>
      <c r="U65" s="477"/>
      <c r="V65" s="477"/>
    </row>
    <row r="66" spans="1:22" ht="18" customHeight="1">
      <c r="A66" s="543" t="s">
        <v>461</v>
      </c>
      <c r="B66" s="548" t="s">
        <v>460</v>
      </c>
      <c r="C66" s="499">
        <f t="shared" si="13"/>
        <v>253</v>
      </c>
      <c r="D66" s="556">
        <f>69+129</f>
        <v>198</v>
      </c>
      <c r="E66" s="556">
        <v>55</v>
      </c>
      <c r="F66" s="517"/>
      <c r="G66" s="510"/>
      <c r="H66" s="499">
        <f t="shared" si="14"/>
        <v>253</v>
      </c>
      <c r="I66" s="499">
        <f t="shared" si="15"/>
        <v>187</v>
      </c>
      <c r="J66" s="556">
        <v>19</v>
      </c>
      <c r="K66" s="556">
        <v>1</v>
      </c>
      <c r="L66" s="556">
        <v>167</v>
      </c>
      <c r="M66" s="556"/>
      <c r="N66" s="556"/>
      <c r="O66" s="556"/>
      <c r="P66" s="556"/>
      <c r="Q66" s="556">
        <v>66</v>
      </c>
      <c r="R66" s="502">
        <f t="shared" si="17"/>
        <v>233</v>
      </c>
      <c r="S66" s="503">
        <f t="shared" si="1"/>
        <v>10.695187165775401</v>
      </c>
      <c r="T66" s="433">
        <f t="shared" si="3"/>
        <v>0</v>
      </c>
      <c r="U66" s="477"/>
      <c r="V66" s="477"/>
    </row>
    <row r="67" spans="1:22" ht="18" customHeight="1">
      <c r="A67" s="543" t="s">
        <v>459</v>
      </c>
      <c r="B67" s="548" t="s">
        <v>458</v>
      </c>
      <c r="C67" s="499">
        <f t="shared" si="13"/>
        <v>341</v>
      </c>
      <c r="D67" s="556">
        <v>240</v>
      </c>
      <c r="E67" s="556">
        <v>101</v>
      </c>
      <c r="F67" s="516"/>
      <c r="G67" s="510"/>
      <c r="H67" s="499">
        <f t="shared" si="14"/>
        <v>341</v>
      </c>
      <c r="I67" s="499">
        <f t="shared" si="15"/>
        <v>279</v>
      </c>
      <c r="J67" s="556">
        <v>44</v>
      </c>
      <c r="K67" s="556"/>
      <c r="L67" s="556">
        <v>234</v>
      </c>
      <c r="M67" s="556"/>
      <c r="N67" s="556">
        <v>1</v>
      </c>
      <c r="O67" s="556"/>
      <c r="P67" s="556"/>
      <c r="Q67" s="556">
        <v>62</v>
      </c>
      <c r="R67" s="502">
        <f t="shared" si="17"/>
        <v>297</v>
      </c>
      <c r="S67" s="503">
        <f t="shared" si="1"/>
        <v>15.770609318996415</v>
      </c>
      <c r="T67" s="433">
        <f t="shared" si="3"/>
        <v>0</v>
      </c>
      <c r="U67" s="477"/>
      <c r="V67" s="477"/>
    </row>
    <row r="68" spans="1:22" ht="18" customHeight="1">
      <c r="A68" s="543" t="s">
        <v>457</v>
      </c>
      <c r="B68" s="548" t="s">
        <v>456</v>
      </c>
      <c r="C68" s="499">
        <f t="shared" si="13"/>
        <v>53</v>
      </c>
      <c r="D68" s="556">
        <v>35</v>
      </c>
      <c r="E68" s="556">
        <v>18</v>
      </c>
      <c r="F68" s="517"/>
      <c r="G68" s="510"/>
      <c r="H68" s="499">
        <f t="shared" si="14"/>
        <v>53</v>
      </c>
      <c r="I68" s="499">
        <f t="shared" si="15"/>
        <v>48</v>
      </c>
      <c r="J68" s="556">
        <v>10</v>
      </c>
      <c r="K68" s="556">
        <v>1</v>
      </c>
      <c r="L68" s="556">
        <v>37</v>
      </c>
      <c r="M68" s="556"/>
      <c r="N68" s="556"/>
      <c r="O68" s="556"/>
      <c r="P68" s="556"/>
      <c r="Q68" s="556">
        <v>5</v>
      </c>
      <c r="R68" s="502">
        <f t="shared" si="17"/>
        <v>42</v>
      </c>
      <c r="S68" s="503">
        <f t="shared" si="1"/>
        <v>22.916666666666664</v>
      </c>
      <c r="T68" s="433">
        <f t="shared" si="3"/>
        <v>0</v>
      </c>
      <c r="U68" s="477"/>
      <c r="V68" s="477"/>
    </row>
    <row r="69" spans="1:22" ht="18" customHeight="1">
      <c r="A69" s="543" t="s">
        <v>455</v>
      </c>
      <c r="B69" s="548" t="s">
        <v>454</v>
      </c>
      <c r="C69" s="499">
        <f t="shared" si="13"/>
        <v>178</v>
      </c>
      <c r="D69" s="556">
        <v>107</v>
      </c>
      <c r="E69" s="556">
        <v>71</v>
      </c>
      <c r="F69" s="516"/>
      <c r="G69" s="510"/>
      <c r="H69" s="499">
        <f t="shared" si="14"/>
        <v>178</v>
      </c>
      <c r="I69" s="499">
        <f t="shared" si="15"/>
        <v>155</v>
      </c>
      <c r="J69" s="556">
        <v>31</v>
      </c>
      <c r="K69" s="556">
        <v>5</v>
      </c>
      <c r="L69" s="556">
        <v>119</v>
      </c>
      <c r="M69" s="556"/>
      <c r="N69" s="556"/>
      <c r="O69" s="556"/>
      <c r="P69" s="556"/>
      <c r="Q69" s="556">
        <v>23</v>
      </c>
      <c r="R69" s="502">
        <f t="shared" si="17"/>
        <v>142</v>
      </c>
      <c r="S69" s="503">
        <f t="shared" si="1"/>
        <v>23.225806451612904</v>
      </c>
      <c r="T69" s="433">
        <f t="shared" si="3"/>
        <v>0</v>
      </c>
      <c r="U69" s="477"/>
      <c r="V69" s="477"/>
    </row>
    <row r="70" spans="1:22" ht="18" customHeight="1">
      <c r="A70" s="541" t="s">
        <v>63</v>
      </c>
      <c r="B70" s="542" t="s">
        <v>453</v>
      </c>
      <c r="C70" s="499">
        <f t="shared" si="13"/>
        <v>668</v>
      </c>
      <c r="D70" s="499">
        <f>SUM(D71:D74)</f>
        <v>463</v>
      </c>
      <c r="E70" s="499">
        <f>SUM(E71:E74)</f>
        <v>205</v>
      </c>
      <c r="F70" s="499">
        <f>SUM(F71:F74)</f>
        <v>0</v>
      </c>
      <c r="G70" s="499">
        <f>SUM(G71:G74)</f>
        <v>0</v>
      </c>
      <c r="H70" s="499">
        <f>I70+Q70</f>
        <v>668</v>
      </c>
      <c r="I70" s="499">
        <f aca="true" t="shared" si="22" ref="I70:Q70">SUM(I71:I74)</f>
        <v>481</v>
      </c>
      <c r="J70" s="499">
        <f t="shared" si="22"/>
        <v>148</v>
      </c>
      <c r="K70" s="499">
        <f t="shared" si="22"/>
        <v>1</v>
      </c>
      <c r="L70" s="499">
        <f t="shared" si="22"/>
        <v>328</v>
      </c>
      <c r="M70" s="499">
        <f t="shared" si="22"/>
        <v>2</v>
      </c>
      <c r="N70" s="499">
        <f t="shared" si="22"/>
        <v>0</v>
      </c>
      <c r="O70" s="499">
        <f t="shared" si="22"/>
        <v>0</v>
      </c>
      <c r="P70" s="499">
        <f t="shared" si="22"/>
        <v>2</v>
      </c>
      <c r="Q70" s="499">
        <f t="shared" si="22"/>
        <v>187</v>
      </c>
      <c r="R70" s="502">
        <f t="shared" si="17"/>
        <v>519</v>
      </c>
      <c r="S70" s="500">
        <f t="shared" si="1"/>
        <v>30.97713097713098</v>
      </c>
      <c r="T70" s="433">
        <f t="shared" si="3"/>
        <v>0</v>
      </c>
      <c r="U70" s="477"/>
      <c r="V70" s="477"/>
    </row>
    <row r="71" spans="1:22" ht="18" customHeight="1">
      <c r="A71" s="543" t="s">
        <v>452</v>
      </c>
      <c r="B71" s="434" t="s">
        <v>451</v>
      </c>
      <c r="C71" s="499">
        <f t="shared" si="13"/>
        <v>81</v>
      </c>
      <c r="D71" s="518">
        <v>65</v>
      </c>
      <c r="E71" s="508">
        <v>16</v>
      </c>
      <c r="F71" s="508"/>
      <c r="G71" s="501"/>
      <c r="H71" s="499">
        <f>I71+Q71</f>
        <v>81</v>
      </c>
      <c r="I71" s="499">
        <f>SUM(J71:P71)</f>
        <v>43</v>
      </c>
      <c r="J71" s="508">
        <v>12</v>
      </c>
      <c r="K71" s="508">
        <v>0</v>
      </c>
      <c r="L71" s="508">
        <v>31</v>
      </c>
      <c r="M71" s="508">
        <v>0</v>
      </c>
      <c r="N71" s="508"/>
      <c r="O71" s="508"/>
      <c r="P71" s="513">
        <v>0</v>
      </c>
      <c r="Q71" s="514">
        <v>38</v>
      </c>
      <c r="R71" s="502">
        <f t="shared" si="17"/>
        <v>69</v>
      </c>
      <c r="S71" s="503">
        <f t="shared" si="1"/>
        <v>27.906976744186046</v>
      </c>
      <c r="T71" s="433">
        <f t="shared" si="3"/>
        <v>0</v>
      </c>
      <c r="U71" s="477"/>
      <c r="V71" s="477"/>
    </row>
    <row r="72" spans="1:22" ht="18" customHeight="1">
      <c r="A72" s="543" t="s">
        <v>450</v>
      </c>
      <c r="B72" s="434" t="s">
        <v>449</v>
      </c>
      <c r="C72" s="499">
        <f t="shared" si="13"/>
        <v>176</v>
      </c>
      <c r="D72" s="518">
        <v>99</v>
      </c>
      <c r="E72" s="508">
        <v>77</v>
      </c>
      <c r="F72" s="508"/>
      <c r="G72" s="501"/>
      <c r="H72" s="499">
        <f>I72+Q72</f>
        <v>176</v>
      </c>
      <c r="I72" s="499">
        <f>SUM(J72:P72)</f>
        <v>130</v>
      </c>
      <c r="J72" s="508">
        <v>53</v>
      </c>
      <c r="K72" s="508">
        <v>1</v>
      </c>
      <c r="L72" s="508">
        <v>74</v>
      </c>
      <c r="M72" s="508">
        <v>2</v>
      </c>
      <c r="N72" s="508"/>
      <c r="O72" s="508"/>
      <c r="P72" s="513"/>
      <c r="Q72" s="514">
        <v>46</v>
      </c>
      <c r="R72" s="502">
        <f t="shared" si="17"/>
        <v>122</v>
      </c>
      <c r="S72" s="503">
        <f t="shared" si="1"/>
        <v>41.53846153846154</v>
      </c>
      <c r="T72" s="433">
        <f t="shared" si="3"/>
        <v>0</v>
      </c>
      <c r="U72" s="477"/>
      <c r="V72" s="477"/>
    </row>
    <row r="73" spans="1:22" ht="18" customHeight="1">
      <c r="A73" s="543" t="s">
        <v>448</v>
      </c>
      <c r="B73" s="434" t="s">
        <v>523</v>
      </c>
      <c r="C73" s="499">
        <f t="shared" si="13"/>
        <v>184</v>
      </c>
      <c r="D73" s="518">
        <v>131</v>
      </c>
      <c r="E73" s="508">
        <v>53</v>
      </c>
      <c r="F73" s="508"/>
      <c r="G73" s="501"/>
      <c r="H73" s="499">
        <f>I73+Q73</f>
        <v>184</v>
      </c>
      <c r="I73" s="499">
        <f>SUM(J73:P73)</f>
        <v>148</v>
      </c>
      <c r="J73" s="508">
        <v>35</v>
      </c>
      <c r="K73" s="508">
        <v>0</v>
      </c>
      <c r="L73" s="508">
        <v>112</v>
      </c>
      <c r="M73" s="508"/>
      <c r="N73" s="508"/>
      <c r="O73" s="508"/>
      <c r="P73" s="513">
        <v>1</v>
      </c>
      <c r="Q73" s="514">
        <v>36</v>
      </c>
      <c r="R73" s="502">
        <f t="shared" si="17"/>
        <v>149</v>
      </c>
      <c r="S73" s="503">
        <f t="shared" si="1"/>
        <v>23.64864864864865</v>
      </c>
      <c r="T73" s="433">
        <f t="shared" si="3"/>
        <v>0</v>
      </c>
      <c r="U73" s="477"/>
      <c r="V73" s="477"/>
    </row>
    <row r="74" spans="1:22" ht="18" customHeight="1">
      <c r="A74" s="543" t="s">
        <v>447</v>
      </c>
      <c r="B74" s="434" t="s">
        <v>446</v>
      </c>
      <c r="C74" s="499">
        <f t="shared" si="13"/>
        <v>227</v>
      </c>
      <c r="D74" s="518">
        <v>168</v>
      </c>
      <c r="E74" s="508">
        <v>59</v>
      </c>
      <c r="F74" s="508"/>
      <c r="G74" s="501"/>
      <c r="H74" s="499">
        <f>I74+Q74</f>
        <v>227</v>
      </c>
      <c r="I74" s="499">
        <f>SUM(J74:P74)</f>
        <v>160</v>
      </c>
      <c r="J74" s="508">
        <v>48</v>
      </c>
      <c r="K74" s="508"/>
      <c r="L74" s="508">
        <v>111</v>
      </c>
      <c r="M74" s="508"/>
      <c r="N74" s="508"/>
      <c r="O74" s="508"/>
      <c r="P74" s="513">
        <v>1</v>
      </c>
      <c r="Q74" s="514">
        <v>67</v>
      </c>
      <c r="R74" s="502">
        <f t="shared" si="17"/>
        <v>179</v>
      </c>
      <c r="S74" s="503">
        <f t="shared" si="1"/>
        <v>30</v>
      </c>
      <c r="T74" s="433">
        <f t="shared" si="3"/>
        <v>0</v>
      </c>
      <c r="U74" s="477"/>
      <c r="V74" s="477"/>
    </row>
    <row r="75" spans="1:22" s="403" customFormat="1" ht="29.25" customHeight="1">
      <c r="A75" s="982"/>
      <c r="B75" s="982"/>
      <c r="C75" s="982"/>
      <c r="D75" s="982"/>
      <c r="E75" s="982"/>
      <c r="F75" s="441"/>
      <c r="G75" s="390"/>
      <c r="H75" s="441"/>
      <c r="I75" s="390"/>
      <c r="J75" s="390"/>
      <c r="K75" s="390"/>
      <c r="L75" s="390"/>
      <c r="M75" s="984" t="str">
        <f>'Thong tin'!B8</f>
        <v>Trà Vinh, ngày 30 tháng 11 năm 2017</v>
      </c>
      <c r="N75" s="984"/>
      <c r="O75" s="984"/>
      <c r="P75" s="984"/>
      <c r="Q75" s="984"/>
      <c r="R75" s="984"/>
      <c r="S75" s="984"/>
      <c r="V75" s="477"/>
    </row>
    <row r="76" spans="1:22" s="400" customFormat="1" ht="19.5" customHeight="1">
      <c r="A76" s="402"/>
      <c r="B76" s="983" t="s">
        <v>4</v>
      </c>
      <c r="C76" s="983"/>
      <c r="D76" s="983"/>
      <c r="E76" s="983"/>
      <c r="F76" s="401"/>
      <c r="G76" s="401"/>
      <c r="H76" s="401"/>
      <c r="I76" s="401"/>
      <c r="J76" s="401"/>
      <c r="K76" s="401"/>
      <c r="L76" s="401"/>
      <c r="M76" s="401"/>
      <c r="N76" s="980" t="str">
        <f>'Thong tin'!B7</f>
        <v>PHÓ CỤC TRƯỞNG</v>
      </c>
      <c r="O76" s="980"/>
      <c r="P76" s="980"/>
      <c r="Q76" s="980"/>
      <c r="R76" s="980"/>
      <c r="S76" s="980"/>
      <c r="V76" s="477"/>
    </row>
    <row r="77" spans="1:22" ht="18.75">
      <c r="A77" s="387"/>
      <c r="B77" s="389"/>
      <c r="C77" s="435"/>
      <c r="D77" s="435"/>
      <c r="E77" s="437"/>
      <c r="F77" s="437"/>
      <c r="G77" s="437"/>
      <c r="H77" s="437"/>
      <c r="I77" s="437"/>
      <c r="J77" s="437"/>
      <c r="K77" s="437"/>
      <c r="L77" s="437"/>
      <c r="M77" s="437"/>
      <c r="N77" s="437"/>
      <c r="O77" s="437"/>
      <c r="P77" s="437"/>
      <c r="Q77" s="437"/>
      <c r="R77" s="436"/>
      <c r="S77" s="436"/>
      <c r="V77" s="477"/>
    </row>
    <row r="78" spans="1:22" ht="18.75">
      <c r="A78" s="387"/>
      <c r="B78" s="387"/>
      <c r="C78" s="438"/>
      <c r="D78" s="438"/>
      <c r="E78" s="438"/>
      <c r="F78" s="438"/>
      <c r="G78" s="438"/>
      <c r="H78" s="438"/>
      <c r="I78" s="438"/>
      <c r="J78" s="438"/>
      <c r="K78" s="438"/>
      <c r="L78" s="438"/>
      <c r="M78" s="438"/>
      <c r="N78" s="438"/>
      <c r="O78" s="438"/>
      <c r="P78" s="438"/>
      <c r="Q78" s="438"/>
      <c r="R78" s="387"/>
      <c r="S78" s="387"/>
      <c r="V78" s="477"/>
    </row>
    <row r="79" spans="1:19" ht="18.75">
      <c r="A79" s="387"/>
      <c r="B79" s="388"/>
      <c r="C79" s="388"/>
      <c r="D79" s="388"/>
      <c r="E79" s="388"/>
      <c r="F79" s="388"/>
      <c r="G79" s="388"/>
      <c r="H79" s="388"/>
      <c r="I79" s="388"/>
      <c r="J79" s="388"/>
      <c r="K79" s="388"/>
      <c r="L79" s="388"/>
      <c r="M79" s="388"/>
      <c r="N79" s="388"/>
      <c r="O79" s="388"/>
      <c r="P79" s="388"/>
      <c r="Q79" s="388"/>
      <c r="R79" s="388"/>
      <c r="S79" s="387"/>
    </row>
    <row r="80" spans="1:19" ht="15.75" customHeight="1">
      <c r="A80" s="399"/>
      <c r="B80" s="387"/>
      <c r="C80" s="387"/>
      <c r="D80" s="388"/>
      <c r="E80" s="388"/>
      <c r="F80" s="388"/>
      <c r="G80" s="388"/>
      <c r="H80" s="388"/>
      <c r="I80" s="388"/>
      <c r="J80" s="388"/>
      <c r="K80" s="388"/>
      <c r="L80" s="388"/>
      <c r="M80" s="388"/>
      <c r="N80" s="388"/>
      <c r="O80" s="388"/>
      <c r="P80" s="388"/>
      <c r="Q80" s="388"/>
      <c r="R80" s="387"/>
      <c r="S80" s="387"/>
    </row>
    <row r="81" spans="1:19" ht="15.75" customHeight="1">
      <c r="A81" s="387"/>
      <c r="B81" s="388"/>
      <c r="C81" s="388"/>
      <c r="D81" s="388"/>
      <c r="E81" s="388"/>
      <c r="F81" s="388"/>
      <c r="G81" s="388"/>
      <c r="H81" s="388"/>
      <c r="I81" s="388"/>
      <c r="J81" s="388"/>
      <c r="K81" s="388"/>
      <c r="L81" s="388"/>
      <c r="M81" s="388"/>
      <c r="N81" s="388"/>
      <c r="O81" s="388"/>
      <c r="P81" s="388"/>
      <c r="Q81" s="388"/>
      <c r="R81" s="387"/>
      <c r="S81" s="387"/>
    </row>
    <row r="82" spans="1:19" ht="18.75">
      <c r="A82" s="389"/>
      <c r="B82" s="389"/>
      <c r="C82" s="389"/>
      <c r="D82" s="389"/>
      <c r="E82" s="389"/>
      <c r="F82" s="389"/>
      <c r="G82" s="389"/>
      <c r="H82" s="389"/>
      <c r="I82" s="389"/>
      <c r="J82" s="389"/>
      <c r="K82" s="389"/>
      <c r="L82" s="389"/>
      <c r="M82" s="389"/>
      <c r="N82" s="389"/>
      <c r="O82" s="389"/>
      <c r="P82" s="389"/>
      <c r="Q82" s="387"/>
      <c r="R82" s="387"/>
      <c r="S82" s="387"/>
    </row>
    <row r="83" spans="1:19" ht="18.75">
      <c r="A83" s="387"/>
      <c r="B83" s="387"/>
      <c r="C83" s="387"/>
      <c r="D83" s="387"/>
      <c r="E83" s="387"/>
      <c r="F83" s="387"/>
      <c r="G83" s="387"/>
      <c r="H83" s="387"/>
      <c r="I83" s="387"/>
      <c r="J83" s="387"/>
      <c r="K83" s="387"/>
      <c r="L83" s="387"/>
      <c r="M83" s="387"/>
      <c r="N83" s="387"/>
      <c r="O83" s="387"/>
      <c r="P83" s="387"/>
      <c r="Q83" s="387"/>
      <c r="R83" s="387"/>
      <c r="S83" s="387"/>
    </row>
    <row r="84" spans="1:19" ht="18.75">
      <c r="A84" s="387"/>
      <c r="B84" s="868" t="str">
        <f>'Thong tin'!B5</f>
        <v>Nhan Quốc Hải</v>
      </c>
      <c r="C84" s="868"/>
      <c r="D84" s="868"/>
      <c r="E84" s="868"/>
      <c r="F84" s="387"/>
      <c r="G84" s="387"/>
      <c r="H84" s="387"/>
      <c r="I84" s="387"/>
      <c r="J84" s="387"/>
      <c r="K84" s="387"/>
      <c r="L84" s="387"/>
      <c r="M84" s="387"/>
      <c r="N84" s="868" t="str">
        <f>'Thong tin'!B6</f>
        <v>Trần Việt Hồng</v>
      </c>
      <c r="O84" s="868"/>
      <c r="P84" s="868"/>
      <c r="Q84" s="868"/>
      <c r="R84" s="868"/>
      <c r="S84" s="868"/>
    </row>
    <row r="85" spans="1:19" ht="18.75">
      <c r="A85" s="398"/>
      <c r="B85" s="398"/>
      <c r="C85" s="398"/>
      <c r="D85" s="398"/>
      <c r="E85" s="398"/>
      <c r="F85" s="398"/>
      <c r="G85" s="398"/>
      <c r="H85" s="398"/>
      <c r="I85" s="398"/>
      <c r="J85" s="398"/>
      <c r="K85" s="398"/>
      <c r="L85" s="398"/>
      <c r="M85" s="398"/>
      <c r="N85" s="398"/>
      <c r="O85" s="398"/>
      <c r="P85" s="398"/>
      <c r="Q85" s="398"/>
      <c r="R85" s="398"/>
      <c r="S85" s="398"/>
    </row>
  </sheetData>
  <sheetProtection/>
  <mergeCells count="31">
    <mergeCell ref="B84:E84"/>
    <mergeCell ref="N76:S76"/>
    <mergeCell ref="N84:S84"/>
    <mergeCell ref="D8:D9"/>
    <mergeCell ref="A11:B11"/>
    <mergeCell ref="A75:E75"/>
    <mergeCell ref="H7:H9"/>
    <mergeCell ref="B76:E76"/>
    <mergeCell ref="I8:I9"/>
    <mergeCell ref="M75:S75"/>
    <mergeCell ref="E1:O1"/>
    <mergeCell ref="E2:O2"/>
    <mergeCell ref="E3:O3"/>
    <mergeCell ref="F6:F9"/>
    <mergeCell ref="G6:G9"/>
    <mergeCell ref="J8:P8"/>
    <mergeCell ref="A3:D3"/>
    <mergeCell ref="D7:E7"/>
    <mergeCell ref="E8:E9"/>
    <mergeCell ref="C7:C9"/>
    <mergeCell ref="A6:B9"/>
    <mergeCell ref="P2:S2"/>
    <mergeCell ref="H6:Q6"/>
    <mergeCell ref="A2:D2"/>
    <mergeCell ref="S6:S9"/>
    <mergeCell ref="A10:B10"/>
    <mergeCell ref="R6:R9"/>
    <mergeCell ref="I7:P7"/>
    <mergeCell ref="P4:S4"/>
    <mergeCell ref="Q7:Q9"/>
    <mergeCell ref="C6:E6"/>
  </mergeCells>
  <printOptions/>
  <pageMargins left="0.25" right="0.25" top="0.25" bottom="0" header="0.3" footer="0"/>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J84"/>
  <sheetViews>
    <sheetView showZeros="0" tabSelected="1" view="pageBreakPreview" zoomScaleNormal="85" zoomScaleSheetLayoutView="100" zoomScalePageLayoutView="0" workbookViewId="0" topLeftCell="A58">
      <selection activeCell="U19" sqref="U19"/>
    </sheetView>
  </sheetViews>
  <sheetFormatPr defaultColWidth="9.00390625" defaultRowHeight="15.75"/>
  <cols>
    <col min="1" max="1" width="3.50390625" style="378" customWidth="1"/>
    <col min="2" max="2" width="15.375" style="378" customWidth="1"/>
    <col min="3" max="3" width="10.125" style="378" customWidth="1"/>
    <col min="4" max="4" width="9.625" style="378" customWidth="1"/>
    <col min="5" max="5" width="9.375" style="378" customWidth="1"/>
    <col min="6" max="6" width="8.50390625" style="378" customWidth="1"/>
    <col min="7" max="7" width="6.625" style="378" customWidth="1"/>
    <col min="8" max="8" width="9.875" style="378" customWidth="1"/>
    <col min="9" max="9" width="10.125" style="378" customWidth="1"/>
    <col min="10" max="10" width="10.75390625" style="378" customWidth="1"/>
    <col min="11" max="11" width="9.125" style="378" customWidth="1"/>
    <col min="12" max="12" width="7.25390625" style="378" customWidth="1"/>
    <col min="13" max="13" width="10.625" style="378" customWidth="1"/>
    <col min="14" max="14" width="8.875" style="378" customWidth="1"/>
    <col min="15" max="15" width="7.375" style="378" customWidth="1"/>
    <col min="16" max="16" width="6.125" style="378" customWidth="1"/>
    <col min="17" max="17" width="6.875" style="378" customWidth="1"/>
    <col min="18" max="19" width="10.25390625" style="378" customWidth="1"/>
    <col min="20" max="20" width="6.75390625" style="378" customWidth="1"/>
    <col min="21" max="21" width="9.00390625" style="378" customWidth="1"/>
    <col min="22" max="22" width="10.875" style="378" bestFit="1" customWidth="1"/>
    <col min="23" max="16384" width="9.00390625" style="378" customWidth="1"/>
  </cols>
  <sheetData>
    <row r="1" spans="1:20" ht="20.25" customHeight="1">
      <c r="A1" s="416" t="s">
        <v>28</v>
      </c>
      <c r="B1" s="416"/>
      <c r="C1" s="416"/>
      <c r="E1" s="977" t="s">
        <v>539</v>
      </c>
      <c r="F1" s="977"/>
      <c r="G1" s="977"/>
      <c r="H1" s="977"/>
      <c r="I1" s="977"/>
      <c r="J1" s="977"/>
      <c r="K1" s="977"/>
      <c r="L1" s="977"/>
      <c r="M1" s="977"/>
      <c r="N1" s="977"/>
      <c r="O1" s="977"/>
      <c r="P1" s="977"/>
      <c r="Q1" s="418" t="s">
        <v>427</v>
      </c>
      <c r="R1" s="414"/>
      <c r="S1" s="414"/>
      <c r="T1" s="414"/>
    </row>
    <row r="2" spans="1:20" ht="17.25" customHeight="1">
      <c r="A2" s="990" t="s">
        <v>243</v>
      </c>
      <c r="B2" s="990"/>
      <c r="C2" s="990"/>
      <c r="D2" s="990"/>
      <c r="E2" s="978" t="s">
        <v>34</v>
      </c>
      <c r="F2" s="978"/>
      <c r="G2" s="978"/>
      <c r="H2" s="978"/>
      <c r="I2" s="978"/>
      <c r="J2" s="978"/>
      <c r="K2" s="978"/>
      <c r="L2" s="978"/>
      <c r="M2" s="978"/>
      <c r="N2" s="978"/>
      <c r="O2" s="978"/>
      <c r="P2" s="978"/>
      <c r="Q2" s="991" t="str">
        <f>'Thong tin'!B4</f>
        <v>CTHADS TRÀ VINH</v>
      </c>
      <c r="R2" s="991"/>
      <c r="S2" s="991"/>
      <c r="T2" s="991"/>
    </row>
    <row r="3" spans="1:20" ht="18" customHeight="1">
      <c r="A3" s="990" t="s">
        <v>244</v>
      </c>
      <c r="B3" s="990"/>
      <c r="C3" s="990"/>
      <c r="D3" s="990"/>
      <c r="E3" s="979" t="str">
        <f>'Thong tin'!B3</f>
        <v>02 tháng / năm 2018</v>
      </c>
      <c r="F3" s="979"/>
      <c r="G3" s="979"/>
      <c r="H3" s="979"/>
      <c r="I3" s="979"/>
      <c r="J3" s="979"/>
      <c r="K3" s="979"/>
      <c r="L3" s="979"/>
      <c r="M3" s="979"/>
      <c r="N3" s="979"/>
      <c r="O3" s="979"/>
      <c r="P3" s="979"/>
      <c r="Q3" s="418" t="s">
        <v>361</v>
      </c>
      <c r="R3" s="417"/>
      <c r="S3" s="414"/>
      <c r="T3" s="414"/>
    </row>
    <row r="4" spans="1:20" ht="14.25" customHeight="1">
      <c r="A4" s="382" t="s">
        <v>123</v>
      </c>
      <c r="B4" s="416"/>
      <c r="C4" s="416"/>
      <c r="D4" s="416"/>
      <c r="E4" s="416"/>
      <c r="F4" s="416"/>
      <c r="G4" s="416"/>
      <c r="H4" s="416"/>
      <c r="I4" s="416"/>
      <c r="J4" s="416"/>
      <c r="K4" s="416"/>
      <c r="L4" s="416"/>
      <c r="M4" s="416"/>
      <c r="N4" s="416"/>
      <c r="O4" s="415"/>
      <c r="P4" s="415"/>
      <c r="Q4" s="992" t="s">
        <v>303</v>
      </c>
      <c r="R4" s="992"/>
      <c r="S4" s="992"/>
      <c r="T4" s="992"/>
    </row>
    <row r="5" spans="2:20" ht="21.75" customHeight="1">
      <c r="B5" s="21"/>
      <c r="C5" s="21"/>
      <c r="Q5" s="995" t="s">
        <v>428</v>
      </c>
      <c r="R5" s="995"/>
      <c r="S5" s="995"/>
      <c r="T5" s="995"/>
    </row>
    <row r="6" spans="1:36" ht="18.75" customHeight="1">
      <c r="A6" s="998" t="s">
        <v>57</v>
      </c>
      <c r="B6" s="998"/>
      <c r="C6" s="993" t="s">
        <v>124</v>
      </c>
      <c r="D6" s="993"/>
      <c r="E6" s="993"/>
      <c r="F6" s="996" t="s">
        <v>101</v>
      </c>
      <c r="G6" s="996" t="s">
        <v>125</v>
      </c>
      <c r="H6" s="997" t="s">
        <v>102</v>
      </c>
      <c r="I6" s="997"/>
      <c r="J6" s="997"/>
      <c r="K6" s="997"/>
      <c r="L6" s="997"/>
      <c r="M6" s="997"/>
      <c r="N6" s="997"/>
      <c r="O6" s="997"/>
      <c r="P6" s="997"/>
      <c r="Q6" s="997"/>
      <c r="R6" s="997"/>
      <c r="S6" s="993" t="s">
        <v>248</v>
      </c>
      <c r="T6" s="993" t="s">
        <v>526</v>
      </c>
      <c r="U6" s="381"/>
      <c r="V6" s="381"/>
      <c r="W6" s="381"/>
      <c r="X6" s="381"/>
      <c r="Y6" s="381"/>
      <c r="Z6" s="381"/>
      <c r="AA6" s="381"/>
      <c r="AB6" s="381"/>
      <c r="AC6" s="381"/>
      <c r="AD6" s="381"/>
      <c r="AE6" s="381"/>
      <c r="AF6" s="381"/>
      <c r="AG6" s="381"/>
      <c r="AH6" s="381"/>
      <c r="AI6" s="381"/>
      <c r="AJ6" s="381"/>
    </row>
    <row r="7" spans="1:36" s="413" customFormat="1" ht="21" customHeight="1">
      <c r="A7" s="998"/>
      <c r="B7" s="998"/>
      <c r="C7" s="993" t="s">
        <v>42</v>
      </c>
      <c r="D7" s="993" t="s">
        <v>7</v>
      </c>
      <c r="E7" s="993"/>
      <c r="F7" s="996"/>
      <c r="G7" s="996"/>
      <c r="H7" s="996" t="s">
        <v>102</v>
      </c>
      <c r="I7" s="993" t="s">
        <v>103</v>
      </c>
      <c r="J7" s="993"/>
      <c r="K7" s="993"/>
      <c r="L7" s="993"/>
      <c r="M7" s="993"/>
      <c r="N7" s="993"/>
      <c r="O7" s="993"/>
      <c r="P7" s="993"/>
      <c r="Q7" s="993"/>
      <c r="R7" s="996" t="s">
        <v>126</v>
      </c>
      <c r="S7" s="993"/>
      <c r="T7" s="993"/>
      <c r="U7" s="414"/>
      <c r="V7" s="414"/>
      <c r="W7" s="414"/>
      <c r="X7" s="414"/>
      <c r="Y7" s="414"/>
      <c r="Z7" s="414"/>
      <c r="AA7" s="414"/>
      <c r="AB7" s="414"/>
      <c r="AC7" s="414"/>
      <c r="AD7" s="414"/>
      <c r="AE7" s="414"/>
      <c r="AF7" s="414"/>
      <c r="AG7" s="414"/>
      <c r="AH7" s="414"/>
      <c r="AI7" s="414"/>
      <c r="AJ7" s="414"/>
    </row>
    <row r="8" spans="1:36" ht="21.75" customHeight="1">
      <c r="A8" s="998"/>
      <c r="B8" s="998"/>
      <c r="C8" s="993"/>
      <c r="D8" s="993" t="s">
        <v>127</v>
      </c>
      <c r="E8" s="993" t="s">
        <v>128</v>
      </c>
      <c r="F8" s="996"/>
      <c r="G8" s="996"/>
      <c r="H8" s="996"/>
      <c r="I8" s="996" t="s">
        <v>525</v>
      </c>
      <c r="J8" s="993" t="s">
        <v>7</v>
      </c>
      <c r="K8" s="993"/>
      <c r="L8" s="993"/>
      <c r="M8" s="993"/>
      <c r="N8" s="993"/>
      <c r="O8" s="993"/>
      <c r="P8" s="993"/>
      <c r="Q8" s="993"/>
      <c r="R8" s="996"/>
      <c r="S8" s="993"/>
      <c r="T8" s="993"/>
      <c r="U8" s="381"/>
      <c r="V8" s="381"/>
      <c r="W8" s="381"/>
      <c r="X8" s="381"/>
      <c r="Y8" s="381"/>
      <c r="Z8" s="381"/>
      <c r="AA8" s="381"/>
      <c r="AB8" s="381"/>
      <c r="AC8" s="381"/>
      <c r="AD8" s="381"/>
      <c r="AE8" s="381"/>
      <c r="AF8" s="381"/>
      <c r="AG8" s="381"/>
      <c r="AH8" s="381"/>
      <c r="AI8" s="381"/>
      <c r="AJ8" s="381"/>
    </row>
    <row r="9" spans="1:36" ht="84" customHeight="1">
      <c r="A9" s="998"/>
      <c r="B9" s="998"/>
      <c r="C9" s="993"/>
      <c r="D9" s="993"/>
      <c r="E9" s="993"/>
      <c r="F9" s="996"/>
      <c r="G9" s="996"/>
      <c r="H9" s="996"/>
      <c r="I9" s="996"/>
      <c r="J9" s="452" t="s">
        <v>129</v>
      </c>
      <c r="K9" s="452" t="s">
        <v>130</v>
      </c>
      <c r="L9" s="452" t="s">
        <v>122</v>
      </c>
      <c r="M9" s="453" t="s">
        <v>105</v>
      </c>
      <c r="N9" s="453" t="s">
        <v>131</v>
      </c>
      <c r="O9" s="453" t="s">
        <v>108</v>
      </c>
      <c r="P9" s="453" t="s">
        <v>249</v>
      </c>
      <c r="Q9" s="453" t="s">
        <v>111</v>
      </c>
      <c r="R9" s="996"/>
      <c r="S9" s="993"/>
      <c r="T9" s="993"/>
      <c r="U9" s="381"/>
      <c r="V9" s="381"/>
      <c r="W9" s="381"/>
      <c r="X9" s="381"/>
      <c r="Y9" s="381"/>
      <c r="Z9" s="381"/>
      <c r="AA9" s="381"/>
      <c r="AB9" s="381"/>
      <c r="AC9" s="381"/>
      <c r="AD9" s="381"/>
      <c r="AE9" s="381"/>
      <c r="AF9" s="381"/>
      <c r="AG9" s="381"/>
      <c r="AH9" s="381"/>
      <c r="AI9" s="381"/>
      <c r="AJ9" s="381"/>
    </row>
    <row r="10" spans="1:23" ht="17.25" customHeight="1">
      <c r="A10" s="999" t="s">
        <v>6</v>
      </c>
      <c r="B10" s="1000"/>
      <c r="C10" s="519">
        <v>1</v>
      </c>
      <c r="D10" s="519">
        <v>2</v>
      </c>
      <c r="E10" s="519">
        <v>3</v>
      </c>
      <c r="F10" s="519">
        <v>4</v>
      </c>
      <c r="G10" s="519">
        <v>5</v>
      </c>
      <c r="H10" s="519">
        <v>6</v>
      </c>
      <c r="I10" s="519">
        <v>7</v>
      </c>
      <c r="J10" s="519">
        <v>8</v>
      </c>
      <c r="K10" s="519">
        <v>9</v>
      </c>
      <c r="L10" s="519" t="s">
        <v>83</v>
      </c>
      <c r="M10" s="519" t="s">
        <v>84</v>
      </c>
      <c r="N10" s="519" t="s">
        <v>85</v>
      </c>
      <c r="O10" s="519" t="s">
        <v>86</v>
      </c>
      <c r="P10" s="519" t="s">
        <v>87</v>
      </c>
      <c r="Q10" s="519" t="s">
        <v>251</v>
      </c>
      <c r="R10" s="519" t="s">
        <v>532</v>
      </c>
      <c r="S10" s="519" t="s">
        <v>531</v>
      </c>
      <c r="T10" s="523" t="s">
        <v>530</v>
      </c>
      <c r="U10" s="520"/>
      <c r="V10" s="381"/>
      <c r="W10" s="381"/>
    </row>
    <row r="11" spans="1:23" ht="19.5" customHeight="1">
      <c r="A11" s="988" t="s">
        <v>30</v>
      </c>
      <c r="B11" s="988"/>
      <c r="C11" s="525">
        <f aca="true" t="shared" si="0" ref="C11:S11">+C12+C22</f>
        <v>645650518</v>
      </c>
      <c r="D11" s="525">
        <f t="shared" si="0"/>
        <v>564902777</v>
      </c>
      <c r="E11" s="525">
        <f t="shared" si="0"/>
        <v>80747741</v>
      </c>
      <c r="F11" s="525">
        <f t="shared" si="0"/>
        <v>440130</v>
      </c>
      <c r="G11" s="525">
        <f t="shared" si="0"/>
        <v>0</v>
      </c>
      <c r="H11" s="525">
        <f t="shared" si="0"/>
        <v>645210388</v>
      </c>
      <c r="I11" s="525">
        <f t="shared" si="0"/>
        <v>404616900</v>
      </c>
      <c r="J11" s="525">
        <f t="shared" si="0"/>
        <v>17938328</v>
      </c>
      <c r="K11" s="525">
        <f t="shared" si="0"/>
        <v>3297330</v>
      </c>
      <c r="L11" s="525">
        <f t="shared" si="0"/>
        <v>0</v>
      </c>
      <c r="M11" s="525">
        <f t="shared" si="0"/>
        <v>370114637</v>
      </c>
      <c r="N11" s="525">
        <f t="shared" si="0"/>
        <v>3399855</v>
      </c>
      <c r="O11" s="525">
        <f t="shared" si="0"/>
        <v>99447</v>
      </c>
      <c r="P11" s="525">
        <f t="shared" si="0"/>
        <v>0</v>
      </c>
      <c r="Q11" s="525">
        <f t="shared" si="0"/>
        <v>9767303</v>
      </c>
      <c r="R11" s="525">
        <f t="shared" si="0"/>
        <v>240593488</v>
      </c>
      <c r="S11" s="525">
        <f t="shared" si="0"/>
        <v>623974730</v>
      </c>
      <c r="T11" s="534">
        <f aca="true" t="shared" si="1" ref="T11:T74">(((J11+K11+L11))/I11)*100</f>
        <v>5.248336883605208</v>
      </c>
      <c r="U11" s="521">
        <f>+C11-(F11+G11+H11)</f>
        <v>0</v>
      </c>
      <c r="V11" s="522"/>
      <c r="W11" s="522"/>
    </row>
    <row r="12" spans="1:23" ht="19.5" customHeight="1">
      <c r="A12" s="478" t="s">
        <v>0</v>
      </c>
      <c r="B12" s="479" t="s">
        <v>524</v>
      </c>
      <c r="C12" s="480">
        <f aca="true" t="shared" si="2" ref="C12:S12">SUM(C13:C21)</f>
        <v>92951200</v>
      </c>
      <c r="D12" s="480">
        <f t="shared" si="2"/>
        <v>91959772</v>
      </c>
      <c r="E12" s="480">
        <f t="shared" si="2"/>
        <v>991428</v>
      </c>
      <c r="F12" s="480">
        <f t="shared" si="2"/>
        <v>0</v>
      </c>
      <c r="G12" s="480">
        <f t="shared" si="2"/>
        <v>0</v>
      </c>
      <c r="H12" s="480">
        <f t="shared" si="2"/>
        <v>92951200</v>
      </c>
      <c r="I12" s="480">
        <f t="shared" si="2"/>
        <v>70412391</v>
      </c>
      <c r="J12" s="480">
        <f t="shared" si="2"/>
        <v>974579</v>
      </c>
      <c r="K12" s="480">
        <f t="shared" si="2"/>
        <v>301642</v>
      </c>
      <c r="L12" s="480">
        <f t="shared" si="2"/>
        <v>0</v>
      </c>
      <c r="M12" s="480">
        <f t="shared" si="2"/>
        <v>66925597</v>
      </c>
      <c r="N12" s="480">
        <f t="shared" si="2"/>
        <v>1999183</v>
      </c>
      <c r="O12" s="480">
        <f t="shared" si="2"/>
        <v>23750</v>
      </c>
      <c r="P12" s="480">
        <f t="shared" si="2"/>
        <v>0</v>
      </c>
      <c r="Q12" s="480">
        <f t="shared" si="2"/>
        <v>187640</v>
      </c>
      <c r="R12" s="480">
        <f>+R13+R14+R15+R16+R17+R18+R19+R20+R21</f>
        <v>22538809</v>
      </c>
      <c r="S12" s="480">
        <f t="shared" si="2"/>
        <v>91674979</v>
      </c>
      <c r="T12" s="535">
        <f t="shared" si="1"/>
        <v>1.8124949059037065</v>
      </c>
      <c r="U12" s="521">
        <f aca="true" t="shared" si="3" ref="U12:U74">+C12-(F12+G12+H12)</f>
        <v>0</v>
      </c>
      <c r="V12" s="522"/>
      <c r="W12" s="522"/>
    </row>
    <row r="13" spans="1:23" ht="19.5" customHeight="1">
      <c r="A13" s="481" t="s">
        <v>43</v>
      </c>
      <c r="B13" s="493" t="s">
        <v>433</v>
      </c>
      <c r="C13" s="480">
        <f aca="true" t="shared" si="4" ref="C13:C21">+D13+E13</f>
        <v>200</v>
      </c>
      <c r="D13" s="482"/>
      <c r="E13" s="482">
        <v>200</v>
      </c>
      <c r="F13" s="482"/>
      <c r="G13" s="482"/>
      <c r="H13" s="480">
        <f aca="true" t="shared" si="5" ref="H13:H21">SUM(I13,R13)</f>
        <v>200</v>
      </c>
      <c r="I13" s="480">
        <f aca="true" t="shared" si="6" ref="I13:I21">SUM(J13:Q13)</f>
        <v>200</v>
      </c>
      <c r="J13" s="482">
        <v>200</v>
      </c>
      <c r="K13" s="482"/>
      <c r="L13" s="482"/>
      <c r="M13" s="482"/>
      <c r="N13" s="482"/>
      <c r="O13" s="482"/>
      <c r="P13" s="482"/>
      <c r="Q13" s="482"/>
      <c r="R13" s="482"/>
      <c r="S13" s="483">
        <f aca="true" t="shared" si="7" ref="S13:S21">SUM(M13:R13)</f>
        <v>0</v>
      </c>
      <c r="T13" s="536">
        <f t="shared" si="1"/>
        <v>100</v>
      </c>
      <c r="U13" s="521">
        <f t="shared" si="3"/>
        <v>0</v>
      </c>
      <c r="V13" s="522"/>
      <c r="W13" s="522"/>
    </row>
    <row r="14" spans="1:23" ht="19.5" customHeight="1">
      <c r="A14" s="481" t="s">
        <v>44</v>
      </c>
      <c r="B14" s="493" t="s">
        <v>522</v>
      </c>
      <c r="C14" s="480">
        <f t="shared" si="4"/>
        <v>0</v>
      </c>
      <c r="D14" s="482"/>
      <c r="E14" s="482">
        <f>91959772-D12</f>
        <v>0</v>
      </c>
      <c r="F14" s="482"/>
      <c r="G14" s="482"/>
      <c r="H14" s="480">
        <f t="shared" si="5"/>
        <v>0</v>
      </c>
      <c r="I14" s="480">
        <f t="shared" si="6"/>
        <v>0</v>
      </c>
      <c r="J14" s="482"/>
      <c r="K14" s="482"/>
      <c r="L14" s="482"/>
      <c r="M14" s="482"/>
      <c r="N14" s="482"/>
      <c r="O14" s="482"/>
      <c r="P14" s="482"/>
      <c r="Q14" s="482"/>
      <c r="R14" s="482"/>
      <c r="S14" s="483">
        <f t="shared" si="7"/>
        <v>0</v>
      </c>
      <c r="T14" s="536" t="e">
        <f t="shared" si="1"/>
        <v>#DIV/0!</v>
      </c>
      <c r="U14" s="521">
        <f t="shared" si="3"/>
        <v>0</v>
      </c>
      <c r="V14" s="522"/>
      <c r="W14" s="522"/>
    </row>
    <row r="15" spans="1:23" ht="19.5" customHeight="1">
      <c r="A15" s="481" t="s">
        <v>49</v>
      </c>
      <c r="B15" s="493" t="s">
        <v>521</v>
      </c>
      <c r="C15" s="480">
        <f t="shared" si="4"/>
        <v>9187067</v>
      </c>
      <c r="D15" s="482">
        <v>9168111</v>
      </c>
      <c r="E15" s="482">
        <v>18956</v>
      </c>
      <c r="F15" s="482"/>
      <c r="G15" s="482"/>
      <c r="H15" s="480">
        <f t="shared" si="5"/>
        <v>9187067</v>
      </c>
      <c r="I15" s="480">
        <f t="shared" si="6"/>
        <v>8216090</v>
      </c>
      <c r="J15" s="482">
        <v>1025</v>
      </c>
      <c r="K15" s="482"/>
      <c r="L15" s="482"/>
      <c r="M15" s="482">
        <v>7726892</v>
      </c>
      <c r="N15" s="482">
        <v>406560</v>
      </c>
      <c r="O15" s="482">
        <v>23750</v>
      </c>
      <c r="P15" s="482"/>
      <c r="Q15" s="482">
        <v>57863</v>
      </c>
      <c r="R15" s="482">
        <v>970977</v>
      </c>
      <c r="S15" s="483">
        <f t="shared" si="7"/>
        <v>9186042</v>
      </c>
      <c r="T15" s="536">
        <f t="shared" si="1"/>
        <v>0.012475520594345974</v>
      </c>
      <c r="U15" s="521">
        <f t="shared" si="3"/>
        <v>0</v>
      </c>
      <c r="V15" s="522"/>
      <c r="W15" s="522"/>
    </row>
    <row r="16" spans="1:23" ht="19.5" customHeight="1">
      <c r="A16" s="481" t="s">
        <v>58</v>
      </c>
      <c r="B16" s="493" t="s">
        <v>520</v>
      </c>
      <c r="C16" s="480">
        <f t="shared" si="4"/>
        <v>37999237</v>
      </c>
      <c r="D16" s="482">
        <v>37427239</v>
      </c>
      <c r="E16" s="482">
        <v>571998</v>
      </c>
      <c r="F16" s="482"/>
      <c r="G16" s="482"/>
      <c r="H16" s="480">
        <f t="shared" si="5"/>
        <v>37999237</v>
      </c>
      <c r="I16" s="480">
        <f t="shared" si="6"/>
        <v>28562769</v>
      </c>
      <c r="J16" s="482">
        <v>690018</v>
      </c>
      <c r="K16" s="482">
        <v>243458</v>
      </c>
      <c r="L16" s="482"/>
      <c r="M16" s="482">
        <v>26264041</v>
      </c>
      <c r="N16" s="482">
        <v>1365252</v>
      </c>
      <c r="O16" s="482"/>
      <c r="P16" s="482"/>
      <c r="Q16" s="482"/>
      <c r="R16" s="482">
        <v>9436468</v>
      </c>
      <c r="S16" s="483">
        <f t="shared" si="7"/>
        <v>37065761</v>
      </c>
      <c r="T16" s="536">
        <f t="shared" si="1"/>
        <v>3.2681565292216592</v>
      </c>
      <c r="U16" s="521">
        <f t="shared" si="3"/>
        <v>0</v>
      </c>
      <c r="V16" s="522"/>
      <c r="W16" s="522"/>
    </row>
    <row r="17" spans="1:23" ht="19.5" customHeight="1">
      <c r="A17" s="481" t="s">
        <v>59</v>
      </c>
      <c r="B17" s="537" t="s">
        <v>519</v>
      </c>
      <c r="C17" s="480">
        <f t="shared" si="4"/>
        <v>16187735</v>
      </c>
      <c r="D17" s="482">
        <v>16178313</v>
      </c>
      <c r="E17" s="482">
        <v>9422</v>
      </c>
      <c r="F17" s="482"/>
      <c r="G17" s="482"/>
      <c r="H17" s="480">
        <f t="shared" si="5"/>
        <v>16187735</v>
      </c>
      <c r="I17" s="480">
        <f t="shared" si="6"/>
        <v>6907464</v>
      </c>
      <c r="J17" s="482"/>
      <c r="K17" s="482"/>
      <c r="L17" s="482"/>
      <c r="M17" s="482">
        <v>6809804</v>
      </c>
      <c r="N17" s="482"/>
      <c r="O17" s="482"/>
      <c r="P17" s="482"/>
      <c r="Q17" s="482">
        <v>97660</v>
      </c>
      <c r="R17" s="482">
        <v>9280271</v>
      </c>
      <c r="S17" s="483">
        <f t="shared" si="7"/>
        <v>16187735</v>
      </c>
      <c r="T17" s="536">
        <f t="shared" si="1"/>
        <v>0</v>
      </c>
      <c r="U17" s="521">
        <f t="shared" si="3"/>
        <v>0</v>
      </c>
      <c r="V17" s="522"/>
      <c r="W17" s="522"/>
    </row>
    <row r="18" spans="1:23" ht="19.5" customHeight="1">
      <c r="A18" s="481" t="s">
        <v>60</v>
      </c>
      <c r="B18" s="493" t="s">
        <v>518</v>
      </c>
      <c r="C18" s="480">
        <f t="shared" si="4"/>
        <v>11254885</v>
      </c>
      <c r="D18" s="482">
        <v>11254585</v>
      </c>
      <c r="E18" s="482">
        <v>300</v>
      </c>
      <c r="F18" s="482"/>
      <c r="G18" s="482"/>
      <c r="H18" s="480">
        <f t="shared" si="5"/>
        <v>11254885</v>
      </c>
      <c r="I18" s="480">
        <f t="shared" si="6"/>
        <v>11061015</v>
      </c>
      <c r="J18" s="482">
        <v>300</v>
      </c>
      <c r="K18" s="482"/>
      <c r="L18" s="482"/>
      <c r="M18" s="482">
        <v>10833344</v>
      </c>
      <c r="N18" s="482">
        <v>227371</v>
      </c>
      <c r="O18" s="482"/>
      <c r="P18" s="482"/>
      <c r="Q18" s="482"/>
      <c r="R18" s="482">
        <v>193870</v>
      </c>
      <c r="S18" s="483">
        <f t="shared" si="7"/>
        <v>11254585</v>
      </c>
      <c r="T18" s="536">
        <f t="shared" si="1"/>
        <v>0.0027122284889768253</v>
      </c>
      <c r="U18" s="521">
        <f t="shared" si="3"/>
        <v>0</v>
      </c>
      <c r="V18" s="522"/>
      <c r="W18" s="522"/>
    </row>
    <row r="19" spans="1:23" ht="19.5" customHeight="1">
      <c r="A19" s="481" t="s">
        <v>61</v>
      </c>
      <c r="B19" s="493" t="s">
        <v>517</v>
      </c>
      <c r="C19" s="480">
        <f t="shared" si="4"/>
        <v>3113652</v>
      </c>
      <c r="D19" s="482">
        <f>3100452+2700</f>
        <v>3103152</v>
      </c>
      <c r="E19" s="482">
        <v>10500</v>
      </c>
      <c r="F19" s="482"/>
      <c r="G19" s="482"/>
      <c r="H19" s="480">
        <f t="shared" si="5"/>
        <v>3113652</v>
      </c>
      <c r="I19" s="480">
        <f t="shared" si="6"/>
        <v>2512325</v>
      </c>
      <c r="J19" s="482">
        <v>31036</v>
      </c>
      <c r="K19" s="482">
        <v>43284</v>
      </c>
      <c r="L19" s="482"/>
      <c r="M19" s="482">
        <v>2438005</v>
      </c>
      <c r="N19" s="482"/>
      <c r="O19" s="482"/>
      <c r="P19" s="482"/>
      <c r="Q19" s="482"/>
      <c r="R19" s="482">
        <f>598627+2700</f>
        <v>601327</v>
      </c>
      <c r="S19" s="483">
        <f t="shared" si="7"/>
        <v>3039332</v>
      </c>
      <c r="T19" s="536">
        <f t="shared" si="1"/>
        <v>2.95821599514394</v>
      </c>
      <c r="U19" s="521">
        <f t="shared" si="3"/>
        <v>0</v>
      </c>
      <c r="V19" s="522"/>
      <c r="W19" s="522"/>
    </row>
    <row r="20" spans="1:23" ht="19.5" customHeight="1">
      <c r="A20" s="481" t="s">
        <v>62</v>
      </c>
      <c r="B20" s="493" t="s">
        <v>557</v>
      </c>
      <c r="C20" s="480">
        <f t="shared" si="4"/>
        <v>6814614</v>
      </c>
      <c r="D20" s="561">
        <v>6457707</v>
      </c>
      <c r="E20" s="482">
        <v>356907</v>
      </c>
      <c r="F20" s="482"/>
      <c r="G20" s="482"/>
      <c r="H20" s="480">
        <f t="shared" si="5"/>
        <v>6814614</v>
      </c>
      <c r="I20" s="480">
        <f t="shared" si="6"/>
        <v>6323144</v>
      </c>
      <c r="J20" s="482">
        <v>252000</v>
      </c>
      <c r="K20" s="482">
        <v>14900</v>
      </c>
      <c r="L20" s="482"/>
      <c r="M20" s="482">
        <v>6024127</v>
      </c>
      <c r="N20" s="482"/>
      <c r="O20" s="482"/>
      <c r="P20" s="482"/>
      <c r="Q20" s="482">
        <v>32117</v>
      </c>
      <c r="R20" s="482">
        <v>491470</v>
      </c>
      <c r="S20" s="483">
        <f t="shared" si="7"/>
        <v>6547714</v>
      </c>
      <c r="T20" s="536">
        <f t="shared" si="1"/>
        <v>4.22100145117682</v>
      </c>
      <c r="U20" s="521">
        <f t="shared" si="3"/>
        <v>0</v>
      </c>
      <c r="V20" s="522"/>
      <c r="W20" s="522"/>
    </row>
    <row r="21" spans="1:23" ht="19.5" customHeight="1">
      <c r="A21" s="481" t="s">
        <v>63</v>
      </c>
      <c r="B21" s="493" t="s">
        <v>515</v>
      </c>
      <c r="C21" s="480">
        <f t="shared" si="4"/>
        <v>8393810</v>
      </c>
      <c r="D21" s="482">
        <f>8369270+1395</f>
        <v>8370665</v>
      </c>
      <c r="E21" s="482">
        <v>23145</v>
      </c>
      <c r="F21" s="482"/>
      <c r="G21" s="482"/>
      <c r="H21" s="480">
        <f t="shared" si="5"/>
        <v>8393810</v>
      </c>
      <c r="I21" s="480">
        <f t="shared" si="6"/>
        <v>6829384</v>
      </c>
      <c r="J21" s="482"/>
      <c r="K21" s="482"/>
      <c r="L21" s="482"/>
      <c r="M21" s="482">
        <v>6829384</v>
      </c>
      <c r="N21" s="482"/>
      <c r="O21" s="482"/>
      <c r="P21" s="482"/>
      <c r="Q21" s="482"/>
      <c r="R21" s="482">
        <v>1564426</v>
      </c>
      <c r="S21" s="483">
        <f t="shared" si="7"/>
        <v>8393810</v>
      </c>
      <c r="T21" s="536">
        <f t="shared" si="1"/>
        <v>0</v>
      </c>
      <c r="U21" s="521">
        <f t="shared" si="3"/>
        <v>0</v>
      </c>
      <c r="V21" s="522"/>
      <c r="W21" s="522"/>
    </row>
    <row r="22" spans="1:23" ht="19.5" customHeight="1">
      <c r="A22" s="478" t="s">
        <v>1</v>
      </c>
      <c r="B22" s="479" t="s">
        <v>17</v>
      </c>
      <c r="C22" s="480">
        <f aca="true" t="shared" si="8" ref="C22:S22">+C23+C31+C36+C41+C45+C51+C58+C64+C70</f>
        <v>552699318</v>
      </c>
      <c r="D22" s="480">
        <f t="shared" si="8"/>
        <v>472943005</v>
      </c>
      <c r="E22" s="480">
        <f t="shared" si="8"/>
        <v>79756313</v>
      </c>
      <c r="F22" s="480">
        <f t="shared" si="8"/>
        <v>440130</v>
      </c>
      <c r="G22" s="480">
        <f t="shared" si="8"/>
        <v>0</v>
      </c>
      <c r="H22" s="480">
        <f t="shared" si="8"/>
        <v>552259188</v>
      </c>
      <c r="I22" s="480">
        <f t="shared" si="8"/>
        <v>334204509</v>
      </c>
      <c r="J22" s="480">
        <f t="shared" si="8"/>
        <v>16963749</v>
      </c>
      <c r="K22" s="480">
        <f t="shared" si="8"/>
        <v>2995688</v>
      </c>
      <c r="L22" s="480">
        <f t="shared" si="8"/>
        <v>0</v>
      </c>
      <c r="M22" s="480">
        <f t="shared" si="8"/>
        <v>303189040</v>
      </c>
      <c r="N22" s="480">
        <f t="shared" si="8"/>
        <v>1400672</v>
      </c>
      <c r="O22" s="480">
        <f t="shared" si="8"/>
        <v>75697</v>
      </c>
      <c r="P22" s="480">
        <f t="shared" si="8"/>
        <v>0</v>
      </c>
      <c r="Q22" s="480">
        <f t="shared" si="8"/>
        <v>9579663</v>
      </c>
      <c r="R22" s="480">
        <f t="shared" si="8"/>
        <v>218054679</v>
      </c>
      <c r="S22" s="480">
        <f t="shared" si="8"/>
        <v>532299751</v>
      </c>
      <c r="T22" s="536">
        <f t="shared" si="1"/>
        <v>5.972222535154366</v>
      </c>
      <c r="U22" s="521">
        <f t="shared" si="3"/>
        <v>0</v>
      </c>
      <c r="V22" s="522"/>
      <c r="W22" s="522"/>
    </row>
    <row r="23" spans="1:23" ht="19.5" customHeight="1">
      <c r="A23" s="478" t="s">
        <v>43</v>
      </c>
      <c r="B23" s="479" t="s">
        <v>514</v>
      </c>
      <c r="C23" s="480">
        <f>+C24+C25+C26+C27+C28+C29+C30</f>
        <v>150219365</v>
      </c>
      <c r="D23" s="480">
        <f aca="true" t="shared" si="9" ref="D23:S23">+D24+D25+D26+D27+D28+D29+D30</f>
        <v>128766036</v>
      </c>
      <c r="E23" s="480">
        <f t="shared" si="9"/>
        <v>21453329</v>
      </c>
      <c r="F23" s="480">
        <f t="shared" si="9"/>
        <v>171722</v>
      </c>
      <c r="G23" s="480">
        <f t="shared" si="9"/>
        <v>0</v>
      </c>
      <c r="H23" s="480">
        <f t="shared" si="9"/>
        <v>150047643</v>
      </c>
      <c r="I23" s="480">
        <f t="shared" si="9"/>
        <v>92362393</v>
      </c>
      <c r="J23" s="480">
        <f t="shared" si="9"/>
        <v>8281319</v>
      </c>
      <c r="K23" s="480">
        <f t="shared" si="9"/>
        <v>127123</v>
      </c>
      <c r="L23" s="480">
        <f t="shared" si="9"/>
        <v>0</v>
      </c>
      <c r="M23" s="480">
        <f t="shared" si="9"/>
        <v>76420370</v>
      </c>
      <c r="N23" s="480">
        <f t="shared" si="9"/>
        <v>768921</v>
      </c>
      <c r="O23" s="480">
        <f t="shared" si="9"/>
        <v>0</v>
      </c>
      <c r="P23" s="480">
        <f t="shared" si="9"/>
        <v>0</v>
      </c>
      <c r="Q23" s="480">
        <f t="shared" si="9"/>
        <v>6764660</v>
      </c>
      <c r="R23" s="480">
        <f t="shared" si="9"/>
        <v>57685250</v>
      </c>
      <c r="S23" s="480">
        <f t="shared" si="9"/>
        <v>141639201</v>
      </c>
      <c r="T23" s="536">
        <f t="shared" si="1"/>
        <v>9.103750700785762</v>
      </c>
      <c r="U23" s="521">
        <f t="shared" si="3"/>
        <v>0</v>
      </c>
      <c r="V23" s="522"/>
      <c r="W23" s="522"/>
    </row>
    <row r="24" spans="1:23" ht="19.5" customHeight="1">
      <c r="A24" s="481" t="s">
        <v>45</v>
      </c>
      <c r="B24" s="484" t="s">
        <v>546</v>
      </c>
      <c r="C24" s="480">
        <f>+D24+E24</f>
        <v>4548607</v>
      </c>
      <c r="D24" s="482">
        <v>4018355</v>
      </c>
      <c r="E24" s="563">
        <v>530252</v>
      </c>
      <c r="F24" s="563"/>
      <c r="G24" s="485"/>
      <c r="H24" s="480">
        <f>+I24+R24</f>
        <v>4548607</v>
      </c>
      <c r="I24" s="480">
        <f>+J24+K24+L24+M24+N24+O24+P24+Q24</f>
        <v>1645976</v>
      </c>
      <c r="J24" s="563">
        <f>135366-1</f>
        <v>135365</v>
      </c>
      <c r="K24" s="563"/>
      <c r="L24" s="564"/>
      <c r="M24" s="563">
        <f>1510609+2</f>
        <v>1510611</v>
      </c>
      <c r="N24" s="564"/>
      <c r="O24" s="564"/>
      <c r="P24" s="564"/>
      <c r="Q24" s="564"/>
      <c r="R24" s="563">
        <v>2902631</v>
      </c>
      <c r="S24" s="483">
        <f>+R24+Q24+P24+O24+N24+M24</f>
        <v>4413242</v>
      </c>
      <c r="T24" s="536">
        <f t="shared" si="1"/>
        <v>8.223995975639985</v>
      </c>
      <c r="U24" s="521">
        <f t="shared" si="3"/>
        <v>0</v>
      </c>
      <c r="V24" s="522"/>
      <c r="W24" s="522"/>
    </row>
    <row r="25" spans="1:23" ht="19.5" customHeight="1">
      <c r="A25" s="481" t="s">
        <v>46</v>
      </c>
      <c r="B25" s="486" t="s">
        <v>512</v>
      </c>
      <c r="C25" s="480">
        <f aca="true" t="shared" si="10" ref="C25:C30">+D25+E25</f>
        <v>24858496</v>
      </c>
      <c r="D25" s="482">
        <v>22821364</v>
      </c>
      <c r="E25" s="563">
        <v>2037132</v>
      </c>
      <c r="F25" s="563"/>
      <c r="G25" s="487"/>
      <c r="H25" s="480">
        <f aca="true" t="shared" si="11" ref="H25:H30">+I25+R25</f>
        <v>24858496</v>
      </c>
      <c r="I25" s="480">
        <f aca="true" t="shared" si="12" ref="I25:I30">+J25+K25+L25+M25+N25+O25+P25+Q25</f>
        <v>18936417</v>
      </c>
      <c r="J25" s="563">
        <f>2800960+1</f>
        <v>2800961</v>
      </c>
      <c r="K25" s="563">
        <v>78114</v>
      </c>
      <c r="L25" s="564"/>
      <c r="M25" s="563">
        <f>15866947-2</f>
        <v>15866945</v>
      </c>
      <c r="N25" s="563">
        <v>189497</v>
      </c>
      <c r="O25" s="563"/>
      <c r="P25" s="563"/>
      <c r="Q25" s="563">
        <v>900</v>
      </c>
      <c r="R25" s="563">
        <v>5922079</v>
      </c>
      <c r="S25" s="483">
        <f aca="true" t="shared" si="13" ref="S25:S35">+R25+Q25+P25+O25+N25+M25</f>
        <v>21979421</v>
      </c>
      <c r="T25" s="536">
        <f t="shared" si="1"/>
        <v>15.203905786400881</v>
      </c>
      <c r="U25" s="521">
        <f t="shared" si="3"/>
        <v>0</v>
      </c>
      <c r="V25" s="522"/>
      <c r="W25" s="522"/>
    </row>
    <row r="26" spans="1:23" ht="19.5" customHeight="1">
      <c r="A26" s="481" t="s">
        <v>104</v>
      </c>
      <c r="B26" s="488" t="s">
        <v>510</v>
      </c>
      <c r="C26" s="480">
        <f t="shared" si="10"/>
        <v>20705218</v>
      </c>
      <c r="D26" s="482">
        <v>20173163</v>
      </c>
      <c r="E26" s="563">
        <v>532055</v>
      </c>
      <c r="F26" s="563"/>
      <c r="G26" s="485"/>
      <c r="H26" s="480">
        <f t="shared" si="11"/>
        <v>20705218</v>
      </c>
      <c r="I26" s="480">
        <f t="shared" si="12"/>
        <v>10891451</v>
      </c>
      <c r="J26" s="563">
        <v>577914</v>
      </c>
      <c r="K26" s="563"/>
      <c r="L26" s="564"/>
      <c r="M26" s="563">
        <v>10313536</v>
      </c>
      <c r="N26" s="563"/>
      <c r="O26" s="564"/>
      <c r="P26" s="564"/>
      <c r="Q26" s="563">
        <v>1</v>
      </c>
      <c r="R26" s="563">
        <v>9813767</v>
      </c>
      <c r="S26" s="483">
        <f t="shared" si="13"/>
        <v>20127304</v>
      </c>
      <c r="T26" s="536">
        <f t="shared" si="1"/>
        <v>5.306124959842357</v>
      </c>
      <c r="U26" s="521">
        <f t="shared" si="3"/>
        <v>0</v>
      </c>
      <c r="V26" s="522"/>
      <c r="W26" s="522"/>
    </row>
    <row r="27" spans="1:23" ht="19.5" customHeight="1">
      <c r="A27" s="481" t="s">
        <v>106</v>
      </c>
      <c r="B27" s="488" t="s">
        <v>511</v>
      </c>
      <c r="C27" s="480">
        <f t="shared" si="10"/>
        <v>27778305</v>
      </c>
      <c r="D27" s="482">
        <v>25597353</v>
      </c>
      <c r="E27" s="563">
        <v>2180952</v>
      </c>
      <c r="F27" s="563"/>
      <c r="G27" s="485"/>
      <c r="H27" s="480">
        <f t="shared" si="11"/>
        <v>27778305</v>
      </c>
      <c r="I27" s="480">
        <f t="shared" si="12"/>
        <v>21723823</v>
      </c>
      <c r="J27" s="563">
        <v>4412684</v>
      </c>
      <c r="K27" s="563">
        <v>35493</v>
      </c>
      <c r="L27" s="564"/>
      <c r="M27" s="563">
        <v>16342011</v>
      </c>
      <c r="N27" s="563">
        <v>102625</v>
      </c>
      <c r="O27" s="564"/>
      <c r="P27" s="564"/>
      <c r="Q27" s="563">
        <v>831010</v>
      </c>
      <c r="R27" s="563">
        <v>6054482</v>
      </c>
      <c r="S27" s="483">
        <f t="shared" si="13"/>
        <v>23330128</v>
      </c>
      <c r="T27" s="536">
        <f t="shared" si="1"/>
        <v>20.47603223428952</v>
      </c>
      <c r="U27" s="521">
        <f t="shared" si="3"/>
        <v>0</v>
      </c>
      <c r="V27" s="522"/>
      <c r="W27" s="522"/>
    </row>
    <row r="28" spans="1:23" ht="19.5" customHeight="1">
      <c r="A28" s="481" t="s">
        <v>107</v>
      </c>
      <c r="B28" s="488" t="s">
        <v>509</v>
      </c>
      <c r="C28" s="480">
        <f t="shared" si="10"/>
        <v>33098685</v>
      </c>
      <c r="D28" s="482">
        <f>26769481+5750773</f>
        <v>32520254</v>
      </c>
      <c r="E28" s="563">
        <v>578431</v>
      </c>
      <c r="F28" s="563"/>
      <c r="G28" s="485"/>
      <c r="H28" s="480">
        <f t="shared" si="11"/>
        <v>33098685</v>
      </c>
      <c r="I28" s="480">
        <f t="shared" si="12"/>
        <v>13858197</v>
      </c>
      <c r="J28" s="563">
        <f>61698+5</f>
        <v>61703</v>
      </c>
      <c r="K28" s="563"/>
      <c r="L28" s="564"/>
      <c r="M28" s="563">
        <f>13796498-4</f>
        <v>13796494</v>
      </c>
      <c r="N28" s="564"/>
      <c r="O28" s="564"/>
      <c r="P28" s="564"/>
      <c r="Q28" s="563"/>
      <c r="R28" s="563">
        <v>19240488</v>
      </c>
      <c r="S28" s="483">
        <f t="shared" si="13"/>
        <v>33036982</v>
      </c>
      <c r="T28" s="536">
        <f t="shared" si="1"/>
        <v>0.4452455106533699</v>
      </c>
      <c r="U28" s="521">
        <f t="shared" si="3"/>
        <v>0</v>
      </c>
      <c r="V28" s="522"/>
      <c r="W28" s="522"/>
    </row>
    <row r="29" spans="1:23" ht="18" customHeight="1">
      <c r="A29" s="481" t="s">
        <v>109</v>
      </c>
      <c r="B29" s="488" t="s">
        <v>552</v>
      </c>
      <c r="C29" s="480">
        <f t="shared" si="10"/>
        <v>14272983</v>
      </c>
      <c r="D29" s="482">
        <f>21357159-5750773-2412966+900-1</f>
        <v>13194319</v>
      </c>
      <c r="E29" s="563">
        <v>1078664</v>
      </c>
      <c r="F29" s="563">
        <f>171721+1</f>
        <v>171722</v>
      </c>
      <c r="G29" s="485"/>
      <c r="H29" s="480">
        <f t="shared" si="11"/>
        <v>14101261</v>
      </c>
      <c r="I29" s="480">
        <f t="shared" si="12"/>
        <v>6261013</v>
      </c>
      <c r="J29" s="563">
        <f>232951-1</f>
        <v>232950</v>
      </c>
      <c r="K29" s="563">
        <v>13516</v>
      </c>
      <c r="L29" s="564"/>
      <c r="M29" s="563">
        <v>4762276</v>
      </c>
      <c r="N29" s="563">
        <v>476799</v>
      </c>
      <c r="O29" s="564"/>
      <c r="P29" s="564"/>
      <c r="Q29" s="563">
        <v>775472</v>
      </c>
      <c r="R29" s="563">
        <v>7840248</v>
      </c>
      <c r="S29" s="483">
        <f t="shared" si="13"/>
        <v>13854795</v>
      </c>
      <c r="T29" s="536">
        <f t="shared" si="1"/>
        <v>3.9365195376530924</v>
      </c>
      <c r="U29" s="521">
        <f t="shared" si="3"/>
        <v>0</v>
      </c>
      <c r="V29" s="522"/>
      <c r="W29" s="522"/>
    </row>
    <row r="30" spans="1:23" ht="18" customHeight="1">
      <c r="A30" s="481" t="s">
        <v>110</v>
      </c>
      <c r="B30" s="486" t="s">
        <v>508</v>
      </c>
      <c r="C30" s="480">
        <f t="shared" si="10"/>
        <v>24957071</v>
      </c>
      <c r="D30" s="482">
        <f>8029161+2412966-900+1</f>
        <v>10441228</v>
      </c>
      <c r="E30" s="563">
        <v>14515843</v>
      </c>
      <c r="F30" s="563"/>
      <c r="G30" s="485"/>
      <c r="H30" s="480">
        <f t="shared" si="11"/>
        <v>24957071</v>
      </c>
      <c r="I30" s="480">
        <f t="shared" si="12"/>
        <v>19045516</v>
      </c>
      <c r="J30" s="563">
        <v>59742</v>
      </c>
      <c r="K30" s="563"/>
      <c r="L30" s="563"/>
      <c r="M30" s="563">
        <v>13828497</v>
      </c>
      <c r="N30" s="563">
        <v>0</v>
      </c>
      <c r="O30" s="564"/>
      <c r="P30" s="564"/>
      <c r="Q30" s="563">
        <v>5157277</v>
      </c>
      <c r="R30" s="563">
        <v>5911555</v>
      </c>
      <c r="S30" s="483">
        <f t="shared" si="13"/>
        <v>24897329</v>
      </c>
      <c r="T30" s="536">
        <f t="shared" si="1"/>
        <v>0.3136801334235313</v>
      </c>
      <c r="U30" s="521">
        <f t="shared" si="3"/>
        <v>0</v>
      </c>
      <c r="V30" s="522"/>
      <c r="W30" s="522"/>
    </row>
    <row r="31" spans="1:23" ht="18" customHeight="1">
      <c r="A31" s="478" t="s">
        <v>44</v>
      </c>
      <c r="B31" s="479" t="s">
        <v>507</v>
      </c>
      <c r="C31" s="480">
        <f>+C32+C33+C34+C35</f>
        <v>56372267</v>
      </c>
      <c r="D31" s="480">
        <f aca="true" t="shared" si="14" ref="D31:N31">+D32+D33+D34+D35</f>
        <v>51028289</v>
      </c>
      <c r="E31" s="480">
        <f t="shared" si="14"/>
        <v>5343978</v>
      </c>
      <c r="F31" s="480">
        <f t="shared" si="14"/>
        <v>4500</v>
      </c>
      <c r="G31" s="480">
        <f t="shared" si="14"/>
        <v>0</v>
      </c>
      <c r="H31" s="480">
        <f t="shared" si="14"/>
        <v>56367767</v>
      </c>
      <c r="I31" s="480">
        <f t="shared" si="14"/>
        <v>35960999</v>
      </c>
      <c r="J31" s="480">
        <f t="shared" si="14"/>
        <v>2377078</v>
      </c>
      <c r="K31" s="480">
        <f t="shared" si="14"/>
        <v>622760</v>
      </c>
      <c r="L31" s="480">
        <f t="shared" si="14"/>
        <v>0</v>
      </c>
      <c r="M31" s="480">
        <f t="shared" si="14"/>
        <v>31777441</v>
      </c>
      <c r="N31" s="480">
        <f t="shared" si="14"/>
        <v>121383</v>
      </c>
      <c r="O31" s="480">
        <f>+O32+O33+O34+O35</f>
        <v>42847</v>
      </c>
      <c r="P31" s="480">
        <f>+P32+P33+P34+P35</f>
        <v>0</v>
      </c>
      <c r="Q31" s="480">
        <f>+Q32+Q33+Q34+Q35</f>
        <v>1019490</v>
      </c>
      <c r="R31" s="480">
        <f>+R32+R33+R34+R35</f>
        <v>20406768</v>
      </c>
      <c r="S31" s="480">
        <f>+S32+S33+S34+S35</f>
        <v>53367929</v>
      </c>
      <c r="T31" s="535">
        <f t="shared" si="1"/>
        <v>8.341920645752916</v>
      </c>
      <c r="U31" s="521">
        <f t="shared" si="3"/>
        <v>0</v>
      </c>
      <c r="V31" s="522"/>
      <c r="W31" s="522"/>
    </row>
    <row r="32" spans="1:23" ht="18" customHeight="1">
      <c r="A32" s="481" t="s">
        <v>47</v>
      </c>
      <c r="B32" s="484" t="s">
        <v>506</v>
      </c>
      <c r="C32" s="480">
        <f>+D32+E32</f>
        <v>2182762</v>
      </c>
      <c r="D32" s="480">
        <v>1929160</v>
      </c>
      <c r="E32" s="482">
        <v>253602</v>
      </c>
      <c r="F32" s="482"/>
      <c r="G32" s="489"/>
      <c r="H32" s="480">
        <f>SUM(I32,R32)</f>
        <v>2182762</v>
      </c>
      <c r="I32" s="480">
        <f>+J32+K32+L32+M32+N32+O32+P32+Q32</f>
        <v>1859269</v>
      </c>
      <c r="J32" s="482">
        <v>75878</v>
      </c>
      <c r="K32" s="482"/>
      <c r="L32" s="481"/>
      <c r="M32" s="482">
        <v>1783391</v>
      </c>
      <c r="N32" s="481"/>
      <c r="O32" s="481"/>
      <c r="P32" s="481"/>
      <c r="Q32" s="481"/>
      <c r="R32" s="482">
        <v>323493</v>
      </c>
      <c r="S32" s="483">
        <f t="shared" si="13"/>
        <v>2106884</v>
      </c>
      <c r="T32" s="536">
        <f t="shared" si="1"/>
        <v>4.081066268517358</v>
      </c>
      <c r="U32" s="521">
        <f t="shared" si="3"/>
        <v>0</v>
      </c>
      <c r="V32" s="522"/>
      <c r="W32" s="522"/>
    </row>
    <row r="33" spans="1:23" ht="18" customHeight="1">
      <c r="A33" s="481" t="s">
        <v>48</v>
      </c>
      <c r="B33" s="486" t="s">
        <v>505</v>
      </c>
      <c r="C33" s="480">
        <f aca="true" t="shared" si="15" ref="C33:C74">+D33+E33</f>
        <v>39974733</v>
      </c>
      <c r="D33" s="480">
        <v>37557485</v>
      </c>
      <c r="E33" s="482">
        <v>2417248</v>
      </c>
      <c r="F33" s="482">
        <v>4500</v>
      </c>
      <c r="G33" s="489"/>
      <c r="H33" s="480">
        <f>SUM(I33,R33)</f>
        <v>39970233</v>
      </c>
      <c r="I33" s="480">
        <f>+J33+K33+L33+M33+N33+O33+P33+Q33</f>
        <v>22894188</v>
      </c>
      <c r="J33" s="482">
        <v>1018388</v>
      </c>
      <c r="K33" s="482">
        <v>622760</v>
      </c>
      <c r="L33" s="481"/>
      <c r="M33" s="482">
        <v>21253040</v>
      </c>
      <c r="N33" s="482"/>
      <c r="O33" s="482"/>
      <c r="P33" s="481"/>
      <c r="Q33" s="481"/>
      <c r="R33" s="482">
        <v>17076045</v>
      </c>
      <c r="S33" s="483">
        <f t="shared" si="13"/>
        <v>38329085</v>
      </c>
      <c r="T33" s="536">
        <f t="shared" si="1"/>
        <v>7.168404487636774</v>
      </c>
      <c r="U33" s="521">
        <f t="shared" si="3"/>
        <v>0</v>
      </c>
      <c r="V33" s="522"/>
      <c r="W33" s="522"/>
    </row>
    <row r="34" spans="1:23" ht="18" customHeight="1">
      <c r="A34" s="481" t="s">
        <v>504</v>
      </c>
      <c r="B34" s="488" t="s">
        <v>501</v>
      </c>
      <c r="C34" s="480">
        <f t="shared" si="15"/>
        <v>6911166</v>
      </c>
      <c r="D34" s="480">
        <v>5989178</v>
      </c>
      <c r="E34" s="482">
        <v>921988</v>
      </c>
      <c r="F34" s="482"/>
      <c r="G34" s="489"/>
      <c r="H34" s="480">
        <f>SUM(I34,R34)</f>
        <v>6911166</v>
      </c>
      <c r="I34" s="480">
        <f>+J34+K34+L34+M34+N34+O34+P34+Q34</f>
        <v>4605589</v>
      </c>
      <c r="J34" s="482">
        <v>216157</v>
      </c>
      <c r="K34" s="482"/>
      <c r="L34" s="481"/>
      <c r="M34" s="482">
        <v>3378516</v>
      </c>
      <c r="N34" s="481"/>
      <c r="O34" s="481"/>
      <c r="P34" s="481"/>
      <c r="Q34" s="490">
        <v>1010916</v>
      </c>
      <c r="R34" s="482">
        <v>2305577</v>
      </c>
      <c r="S34" s="483">
        <f t="shared" si="13"/>
        <v>6695009</v>
      </c>
      <c r="T34" s="536">
        <f t="shared" si="1"/>
        <v>4.693362781611646</v>
      </c>
      <c r="U34" s="521">
        <f t="shared" si="3"/>
        <v>0</v>
      </c>
      <c r="V34" s="522"/>
      <c r="W34" s="522"/>
    </row>
    <row r="35" spans="1:23" ht="18" customHeight="1">
      <c r="A35" s="481" t="s">
        <v>502</v>
      </c>
      <c r="B35" s="486" t="s">
        <v>500</v>
      </c>
      <c r="C35" s="480">
        <f t="shared" si="15"/>
        <v>7303606</v>
      </c>
      <c r="D35" s="480">
        <v>5552466</v>
      </c>
      <c r="E35" s="482">
        <v>1751140</v>
      </c>
      <c r="F35" s="482"/>
      <c r="G35" s="491"/>
      <c r="H35" s="480">
        <f>SUM(I35,R35)</f>
        <v>7303606</v>
      </c>
      <c r="I35" s="480">
        <f>+J35+K35+L35+M35+N35+O35+P35+Q35</f>
        <v>6601953</v>
      </c>
      <c r="J35" s="482">
        <v>1066655</v>
      </c>
      <c r="K35" s="482"/>
      <c r="L35" s="481"/>
      <c r="M35" s="482">
        <v>5362494</v>
      </c>
      <c r="N35" s="482">
        <v>121383</v>
      </c>
      <c r="O35" s="481" t="s">
        <v>547</v>
      </c>
      <c r="P35" s="481"/>
      <c r="Q35" s="481" t="s">
        <v>548</v>
      </c>
      <c r="R35" s="482">
        <v>701653</v>
      </c>
      <c r="S35" s="483">
        <f t="shared" si="13"/>
        <v>6236951</v>
      </c>
      <c r="T35" s="536">
        <f t="shared" si="1"/>
        <v>16.15665849181295</v>
      </c>
      <c r="U35" s="521">
        <f t="shared" si="3"/>
        <v>0</v>
      </c>
      <c r="V35" s="522"/>
      <c r="W35" s="522"/>
    </row>
    <row r="36" spans="1:23" ht="18" customHeight="1">
      <c r="A36" s="478" t="s">
        <v>49</v>
      </c>
      <c r="B36" s="479" t="s">
        <v>499</v>
      </c>
      <c r="C36" s="480">
        <f t="shared" si="15"/>
        <v>39238714</v>
      </c>
      <c r="D36" s="480">
        <f aca="true" t="shared" si="16" ref="D36:R36">+D37+D38+D39+D40</f>
        <v>35737802</v>
      </c>
      <c r="E36" s="480">
        <f t="shared" si="16"/>
        <v>3500912</v>
      </c>
      <c r="F36" s="480">
        <f t="shared" si="16"/>
        <v>0</v>
      </c>
      <c r="G36" s="480">
        <f t="shared" si="16"/>
        <v>0</v>
      </c>
      <c r="H36" s="480">
        <f t="shared" si="16"/>
        <v>39238714</v>
      </c>
      <c r="I36" s="480">
        <f t="shared" si="16"/>
        <v>15537467</v>
      </c>
      <c r="J36" s="480">
        <f t="shared" si="16"/>
        <v>1120445</v>
      </c>
      <c r="K36" s="480">
        <f t="shared" si="16"/>
        <v>461673</v>
      </c>
      <c r="L36" s="480">
        <f t="shared" si="16"/>
        <v>0</v>
      </c>
      <c r="M36" s="480">
        <f t="shared" si="16"/>
        <v>13844509</v>
      </c>
      <c r="N36" s="480">
        <f t="shared" si="16"/>
        <v>0</v>
      </c>
      <c r="O36" s="480">
        <f t="shared" si="16"/>
        <v>0</v>
      </c>
      <c r="P36" s="480">
        <f t="shared" si="16"/>
        <v>0</v>
      </c>
      <c r="Q36" s="480">
        <f t="shared" si="16"/>
        <v>110840</v>
      </c>
      <c r="R36" s="480">
        <f t="shared" si="16"/>
        <v>23701247</v>
      </c>
      <c r="S36" s="480">
        <f>+S37+S38+S39+S40</f>
        <v>37656596</v>
      </c>
      <c r="T36" s="535">
        <f t="shared" si="1"/>
        <v>10.182599261514119</v>
      </c>
      <c r="U36" s="521">
        <f t="shared" si="3"/>
        <v>0</v>
      </c>
      <c r="V36" s="522"/>
      <c r="W36" s="522"/>
    </row>
    <row r="37" spans="1:23" ht="18" customHeight="1">
      <c r="A37" s="481" t="s">
        <v>113</v>
      </c>
      <c r="B37" s="492" t="s">
        <v>498</v>
      </c>
      <c r="C37" s="480">
        <f t="shared" si="15"/>
        <v>53319</v>
      </c>
      <c r="D37" s="456">
        <v>41650</v>
      </c>
      <c r="E37" s="456">
        <v>11669</v>
      </c>
      <c r="F37" s="454"/>
      <c r="G37" s="482"/>
      <c r="H37" s="480">
        <f aca="true" t="shared" si="17" ref="H37:H74">+I37+R37</f>
        <v>53319</v>
      </c>
      <c r="I37" s="480">
        <f>+J37+K37+L37+M37+N37+O37+P37+Q37</f>
        <v>53319</v>
      </c>
      <c r="J37" s="456">
        <v>14069</v>
      </c>
      <c r="K37" s="456"/>
      <c r="L37" s="456">
        <v>0</v>
      </c>
      <c r="M37" s="456">
        <v>39250</v>
      </c>
      <c r="N37" s="456"/>
      <c r="O37" s="456"/>
      <c r="P37" s="456"/>
      <c r="Q37" s="456"/>
      <c r="R37" s="456"/>
      <c r="S37" s="538">
        <f>+R37+Q37+P37+O37+N37+M37</f>
        <v>39250</v>
      </c>
      <c r="T37" s="536">
        <f t="shared" si="1"/>
        <v>26.38646636283501</v>
      </c>
      <c r="U37" s="521">
        <f t="shared" si="3"/>
        <v>0</v>
      </c>
      <c r="V37" s="522"/>
      <c r="W37" s="522"/>
    </row>
    <row r="38" spans="1:23" ht="18" customHeight="1">
      <c r="A38" s="481" t="s">
        <v>114</v>
      </c>
      <c r="B38" s="493" t="s">
        <v>497</v>
      </c>
      <c r="C38" s="480">
        <f t="shared" si="15"/>
        <v>7625440</v>
      </c>
      <c r="D38" s="456">
        <v>7450949</v>
      </c>
      <c r="E38" s="456">
        <v>174491</v>
      </c>
      <c r="F38" s="454"/>
      <c r="G38" s="482"/>
      <c r="H38" s="480">
        <f t="shared" si="17"/>
        <v>7625440</v>
      </c>
      <c r="I38" s="480">
        <f>+J38+K38+L38+M38+N38+O38+P38+Q38</f>
        <v>2442118</v>
      </c>
      <c r="J38" s="456">
        <v>291325</v>
      </c>
      <c r="K38" s="456">
        <v>4350</v>
      </c>
      <c r="L38" s="456">
        <v>0</v>
      </c>
      <c r="M38" s="456">
        <v>2146443</v>
      </c>
      <c r="N38" s="456"/>
      <c r="O38" s="456"/>
      <c r="P38" s="456"/>
      <c r="Q38" s="456"/>
      <c r="R38" s="456">
        <v>5183322</v>
      </c>
      <c r="S38" s="538">
        <f>+R38+Q38+P38+O38+N38+M38</f>
        <v>7329765</v>
      </c>
      <c r="T38" s="536">
        <f t="shared" si="1"/>
        <v>12.1073183195898</v>
      </c>
      <c r="U38" s="521">
        <f t="shared" si="3"/>
        <v>0</v>
      </c>
      <c r="V38" s="522"/>
      <c r="W38" s="522"/>
    </row>
    <row r="39" spans="1:23" ht="18" customHeight="1">
      <c r="A39" s="481" t="s">
        <v>115</v>
      </c>
      <c r="B39" s="493" t="s">
        <v>496</v>
      </c>
      <c r="C39" s="480">
        <f t="shared" si="15"/>
        <v>16908509</v>
      </c>
      <c r="D39" s="456">
        <v>15913789</v>
      </c>
      <c r="E39" s="456">
        <v>994720</v>
      </c>
      <c r="F39" s="454"/>
      <c r="G39" s="482"/>
      <c r="H39" s="480">
        <f t="shared" si="17"/>
        <v>16908509</v>
      </c>
      <c r="I39" s="480">
        <f>+J39+K39+L39+M39+N39+O39+P39+Q39</f>
        <v>4100092</v>
      </c>
      <c r="J39" s="456">
        <v>187252</v>
      </c>
      <c r="K39" s="456">
        <v>81182</v>
      </c>
      <c r="L39" s="456"/>
      <c r="M39" s="456">
        <v>3831658</v>
      </c>
      <c r="N39" s="456"/>
      <c r="O39" s="456"/>
      <c r="P39" s="456"/>
      <c r="Q39" s="456"/>
      <c r="R39" s="456">
        <v>12808417</v>
      </c>
      <c r="S39" s="538">
        <f>+R39+Q39+P39+O39+N39+M39</f>
        <v>16640075</v>
      </c>
      <c r="T39" s="536">
        <f t="shared" si="1"/>
        <v>6.547023822880071</v>
      </c>
      <c r="U39" s="521">
        <f t="shared" si="3"/>
        <v>0</v>
      </c>
      <c r="V39" s="522"/>
      <c r="W39" s="522"/>
    </row>
    <row r="40" spans="1:23" ht="18" customHeight="1">
      <c r="A40" s="481" t="s">
        <v>495</v>
      </c>
      <c r="B40" s="493" t="s">
        <v>494</v>
      </c>
      <c r="C40" s="480">
        <f t="shared" si="15"/>
        <v>14651446</v>
      </c>
      <c r="D40" s="456">
        <v>12331414</v>
      </c>
      <c r="E40" s="456">
        <v>2320032</v>
      </c>
      <c r="F40" s="454"/>
      <c r="G40" s="482"/>
      <c r="H40" s="480">
        <f t="shared" si="17"/>
        <v>14651446</v>
      </c>
      <c r="I40" s="480">
        <f>+J40+K40+L40+M40+N40+O40+P40+Q40</f>
        <v>8941938</v>
      </c>
      <c r="J40" s="456">
        <v>627799</v>
      </c>
      <c r="K40" s="456">
        <v>376141</v>
      </c>
      <c r="L40" s="456">
        <v>0</v>
      </c>
      <c r="M40" s="456">
        <v>7827158</v>
      </c>
      <c r="N40" s="456"/>
      <c r="O40" s="456"/>
      <c r="P40" s="456"/>
      <c r="Q40" s="456">
        <v>110840</v>
      </c>
      <c r="R40" s="456">
        <v>5709508</v>
      </c>
      <c r="S40" s="538">
        <f>+R40+Q40+P40+O40+N40+M40</f>
        <v>13647506</v>
      </c>
      <c r="T40" s="536">
        <f t="shared" si="1"/>
        <v>11.227320073120614</v>
      </c>
      <c r="U40" s="521">
        <f t="shared" si="3"/>
        <v>0</v>
      </c>
      <c r="V40" s="522"/>
      <c r="W40" s="522"/>
    </row>
    <row r="41" spans="1:23" ht="18" customHeight="1">
      <c r="A41" s="478" t="s">
        <v>58</v>
      </c>
      <c r="B41" s="479" t="s">
        <v>493</v>
      </c>
      <c r="C41" s="480">
        <f t="shared" si="15"/>
        <v>21419481</v>
      </c>
      <c r="D41" s="480">
        <f>SUM(D42:D44)</f>
        <v>19731008</v>
      </c>
      <c r="E41" s="480">
        <f>SUM(E42:E44)</f>
        <v>1688473</v>
      </c>
      <c r="F41" s="480">
        <f>SUM(F42:F44)</f>
        <v>0</v>
      </c>
      <c r="G41" s="480">
        <f>SUM(G42:G44)</f>
        <v>0</v>
      </c>
      <c r="H41" s="480">
        <f t="shared" si="17"/>
        <v>21419481</v>
      </c>
      <c r="I41" s="480">
        <f>SUM(J41:Q41)</f>
        <v>11864564</v>
      </c>
      <c r="J41" s="480">
        <f aca="true" t="shared" si="18" ref="J41:R41">SUM(J42:J44)</f>
        <v>975701</v>
      </c>
      <c r="K41" s="480">
        <f t="shared" si="18"/>
        <v>48597</v>
      </c>
      <c r="L41" s="480">
        <f t="shared" si="18"/>
        <v>0</v>
      </c>
      <c r="M41" s="480">
        <f t="shared" si="18"/>
        <v>10840266</v>
      </c>
      <c r="N41" s="480">
        <f t="shared" si="18"/>
        <v>0</v>
      </c>
      <c r="O41" s="480">
        <f t="shared" si="18"/>
        <v>0</v>
      </c>
      <c r="P41" s="480">
        <f t="shared" si="18"/>
        <v>0</v>
      </c>
      <c r="Q41" s="480">
        <f t="shared" si="18"/>
        <v>0</v>
      </c>
      <c r="R41" s="480">
        <f t="shared" si="18"/>
        <v>9554917</v>
      </c>
      <c r="S41" s="538">
        <f>+R41+Q41+P41+O41+N41+M41</f>
        <v>20395183</v>
      </c>
      <c r="T41" s="535">
        <f t="shared" si="1"/>
        <v>8.633254454188119</v>
      </c>
      <c r="U41" s="521">
        <f t="shared" si="3"/>
        <v>0</v>
      </c>
      <c r="V41" s="522"/>
      <c r="W41" s="522"/>
    </row>
    <row r="42" spans="1:23" ht="18" customHeight="1">
      <c r="A42" s="481" t="s">
        <v>116</v>
      </c>
      <c r="B42" s="493" t="s">
        <v>492</v>
      </c>
      <c r="C42" s="480">
        <f t="shared" si="15"/>
        <v>5006754</v>
      </c>
      <c r="D42" s="455">
        <v>4627369</v>
      </c>
      <c r="E42" s="490">
        <v>379385</v>
      </c>
      <c r="F42" s="490"/>
      <c r="G42" s="482"/>
      <c r="H42" s="480">
        <f t="shared" si="17"/>
        <v>5006754</v>
      </c>
      <c r="I42" s="480">
        <f>+J42+K42+L42+M42+N42+O42+P42+Q42</f>
        <v>3366162</v>
      </c>
      <c r="J42" s="490">
        <v>6271</v>
      </c>
      <c r="K42" s="490">
        <v>0</v>
      </c>
      <c r="L42" s="481"/>
      <c r="M42" s="490">
        <v>3359891</v>
      </c>
      <c r="N42" s="481"/>
      <c r="O42" s="481"/>
      <c r="P42" s="481"/>
      <c r="Q42" s="481"/>
      <c r="R42" s="539">
        <v>1640592</v>
      </c>
      <c r="S42" s="538">
        <f aca="true" t="shared" si="19" ref="S42:S50">+R42+Q42+P42+O42+N42+M42</f>
        <v>5000483</v>
      </c>
      <c r="T42" s="536">
        <f t="shared" si="1"/>
        <v>0.1862952525754851</v>
      </c>
      <c r="U42" s="521">
        <f t="shared" si="3"/>
        <v>0</v>
      </c>
      <c r="V42" s="522"/>
      <c r="W42" s="522"/>
    </row>
    <row r="43" spans="1:23" ht="18" customHeight="1">
      <c r="A43" s="481" t="s">
        <v>117</v>
      </c>
      <c r="B43" s="493" t="s">
        <v>491</v>
      </c>
      <c r="C43" s="480">
        <f t="shared" si="15"/>
        <v>6801936</v>
      </c>
      <c r="D43" s="455">
        <v>5928743</v>
      </c>
      <c r="E43" s="490">
        <v>873193</v>
      </c>
      <c r="F43" s="482"/>
      <c r="G43" s="482"/>
      <c r="H43" s="480">
        <f t="shared" si="17"/>
        <v>6801936</v>
      </c>
      <c r="I43" s="480">
        <f>+J43+K43+L43+M43+N43+O43+P43+Q43</f>
        <v>4361181</v>
      </c>
      <c r="J43" s="490">
        <v>543596</v>
      </c>
      <c r="K43" s="490">
        <v>47935</v>
      </c>
      <c r="L43" s="481"/>
      <c r="M43" s="490">
        <v>3769650</v>
      </c>
      <c r="N43" s="481"/>
      <c r="O43" s="481"/>
      <c r="P43" s="481"/>
      <c r="Q43" s="481"/>
      <c r="R43" s="539">
        <v>2440755</v>
      </c>
      <c r="S43" s="538">
        <f t="shared" si="19"/>
        <v>6210405</v>
      </c>
      <c r="T43" s="536">
        <f t="shared" si="1"/>
        <v>13.56355079048542</v>
      </c>
      <c r="U43" s="521">
        <f t="shared" si="3"/>
        <v>0</v>
      </c>
      <c r="V43" s="522"/>
      <c r="W43" s="522"/>
    </row>
    <row r="44" spans="1:23" ht="18" customHeight="1">
      <c r="A44" s="481" t="s">
        <v>118</v>
      </c>
      <c r="B44" s="493" t="s">
        <v>490</v>
      </c>
      <c r="C44" s="480">
        <f t="shared" si="15"/>
        <v>9610791</v>
      </c>
      <c r="D44" s="455">
        <v>9174896</v>
      </c>
      <c r="E44" s="490">
        <v>435895</v>
      </c>
      <c r="F44" s="482"/>
      <c r="G44" s="482"/>
      <c r="H44" s="480">
        <f t="shared" si="17"/>
        <v>9610791</v>
      </c>
      <c r="I44" s="480">
        <f>+J44+K44+L44+M44+N44+O44+P44+Q44</f>
        <v>4137221</v>
      </c>
      <c r="J44" s="490">
        <v>425834</v>
      </c>
      <c r="K44" s="490">
        <v>662</v>
      </c>
      <c r="L44" s="481"/>
      <c r="M44" s="490">
        <v>3710725</v>
      </c>
      <c r="N44" s="481"/>
      <c r="O44" s="481"/>
      <c r="P44" s="481"/>
      <c r="Q44" s="481"/>
      <c r="R44" s="539">
        <v>5473570</v>
      </c>
      <c r="S44" s="538">
        <f t="shared" si="19"/>
        <v>9184295</v>
      </c>
      <c r="T44" s="536">
        <f t="shared" si="1"/>
        <v>10.308755563215017</v>
      </c>
      <c r="U44" s="521">
        <f t="shared" si="3"/>
        <v>0</v>
      </c>
      <c r="V44" s="522"/>
      <c r="W44" s="522"/>
    </row>
    <row r="45" spans="1:23" ht="18" customHeight="1">
      <c r="A45" s="478" t="s">
        <v>59</v>
      </c>
      <c r="B45" s="479" t="s">
        <v>489</v>
      </c>
      <c r="C45" s="483">
        <f aca="true" t="shared" si="20" ref="C45:S45">+C46+C47+C48+C49+C50</f>
        <v>23064007</v>
      </c>
      <c r="D45" s="483">
        <f t="shared" si="20"/>
        <v>21130042</v>
      </c>
      <c r="E45" s="483">
        <f t="shared" si="20"/>
        <v>1933965</v>
      </c>
      <c r="F45" s="483">
        <f t="shared" si="20"/>
        <v>0</v>
      </c>
      <c r="G45" s="483">
        <f t="shared" si="20"/>
        <v>0</v>
      </c>
      <c r="H45" s="483">
        <f t="shared" si="20"/>
        <v>23064007</v>
      </c>
      <c r="I45" s="483">
        <f t="shared" si="20"/>
        <v>12842921</v>
      </c>
      <c r="J45" s="483">
        <f t="shared" si="20"/>
        <v>1118359</v>
      </c>
      <c r="K45" s="483">
        <f t="shared" si="20"/>
        <v>703688</v>
      </c>
      <c r="L45" s="483">
        <f t="shared" si="20"/>
        <v>0</v>
      </c>
      <c r="M45" s="483">
        <f t="shared" si="20"/>
        <v>10588796</v>
      </c>
      <c r="N45" s="483">
        <f t="shared" si="20"/>
        <v>432078</v>
      </c>
      <c r="O45" s="483">
        <f t="shared" si="20"/>
        <v>0</v>
      </c>
      <c r="P45" s="483">
        <f t="shared" si="20"/>
        <v>0</v>
      </c>
      <c r="Q45" s="483">
        <f t="shared" si="20"/>
        <v>0</v>
      </c>
      <c r="R45" s="483">
        <f t="shared" si="20"/>
        <v>10221086</v>
      </c>
      <c r="S45" s="483">
        <f t="shared" si="20"/>
        <v>21241960</v>
      </c>
      <c r="T45" s="536">
        <f t="shared" si="1"/>
        <v>14.187169725641075</v>
      </c>
      <c r="U45" s="521">
        <f t="shared" si="3"/>
        <v>0</v>
      </c>
      <c r="V45" s="522"/>
      <c r="W45" s="522"/>
    </row>
    <row r="46" spans="1:23" ht="18" customHeight="1">
      <c r="A46" s="484" t="s">
        <v>488</v>
      </c>
      <c r="B46" s="484" t="s">
        <v>488</v>
      </c>
      <c r="C46" s="480">
        <f t="shared" si="15"/>
        <v>608825</v>
      </c>
      <c r="D46" s="480">
        <v>328459</v>
      </c>
      <c r="E46" s="482">
        <v>280366</v>
      </c>
      <c r="F46" s="482"/>
      <c r="G46" s="482"/>
      <c r="H46" s="480">
        <f t="shared" si="17"/>
        <v>608825</v>
      </c>
      <c r="I46" s="480">
        <f>+J46+K46+L46+M46+N46+O46+P46+Q46</f>
        <v>330294</v>
      </c>
      <c r="J46" s="482">
        <v>57855</v>
      </c>
      <c r="K46" s="482"/>
      <c r="L46" s="481"/>
      <c r="M46" s="482">
        <v>272439</v>
      </c>
      <c r="N46" s="481"/>
      <c r="O46" s="481"/>
      <c r="P46" s="481"/>
      <c r="Q46" s="481"/>
      <c r="R46" s="482">
        <v>278531</v>
      </c>
      <c r="S46" s="538">
        <f t="shared" si="19"/>
        <v>550970</v>
      </c>
      <c r="T46" s="536">
        <f t="shared" si="1"/>
        <v>17.51621282857091</v>
      </c>
      <c r="U46" s="521">
        <f t="shared" si="3"/>
        <v>0</v>
      </c>
      <c r="V46" s="522"/>
      <c r="W46" s="522"/>
    </row>
    <row r="47" spans="1:23" ht="18" customHeight="1">
      <c r="A47" s="484" t="s">
        <v>503</v>
      </c>
      <c r="B47" s="484" t="s">
        <v>503</v>
      </c>
      <c r="C47" s="480">
        <f t="shared" si="15"/>
        <v>6457612</v>
      </c>
      <c r="D47" s="480">
        <v>5811124</v>
      </c>
      <c r="E47" s="482">
        <v>646488</v>
      </c>
      <c r="F47" s="482"/>
      <c r="G47" s="482"/>
      <c r="H47" s="480">
        <f t="shared" si="17"/>
        <v>6457612</v>
      </c>
      <c r="I47" s="480">
        <f>+J47+K47+L47+M47+N47+O47+P47+Q47</f>
        <v>2227520</v>
      </c>
      <c r="J47" s="482">
        <v>668542</v>
      </c>
      <c r="K47" s="482">
        <v>46274</v>
      </c>
      <c r="L47" s="481"/>
      <c r="M47" s="482">
        <v>1512704</v>
      </c>
      <c r="N47" s="482"/>
      <c r="O47" s="482"/>
      <c r="P47" s="481"/>
      <c r="Q47" s="481"/>
      <c r="R47" s="482">
        <v>4230092</v>
      </c>
      <c r="S47" s="538">
        <f t="shared" si="19"/>
        <v>5742796</v>
      </c>
      <c r="T47" s="536">
        <f t="shared" si="1"/>
        <v>32.090216922855916</v>
      </c>
      <c r="U47" s="521">
        <f t="shared" si="3"/>
        <v>0</v>
      </c>
      <c r="V47" s="522"/>
      <c r="W47" s="522"/>
    </row>
    <row r="48" spans="1:23" ht="18" customHeight="1">
      <c r="A48" s="488" t="s">
        <v>487</v>
      </c>
      <c r="B48" s="488" t="s">
        <v>487</v>
      </c>
      <c r="C48" s="480">
        <f t="shared" si="15"/>
        <v>5178821</v>
      </c>
      <c r="D48" s="480">
        <v>4477043</v>
      </c>
      <c r="E48" s="482">
        <v>701778</v>
      </c>
      <c r="F48" s="482"/>
      <c r="G48" s="482"/>
      <c r="H48" s="480">
        <f t="shared" si="17"/>
        <v>5178821</v>
      </c>
      <c r="I48" s="480">
        <f>+J48+K48+L48+M48+N48+O48+P48+Q48</f>
        <v>4066890</v>
      </c>
      <c r="J48" s="482">
        <v>63157</v>
      </c>
      <c r="K48" s="482"/>
      <c r="L48" s="481"/>
      <c r="M48" s="482">
        <v>4003733</v>
      </c>
      <c r="N48" s="481"/>
      <c r="O48" s="481"/>
      <c r="P48" s="481"/>
      <c r="Q48" s="481"/>
      <c r="R48" s="482">
        <v>1111931</v>
      </c>
      <c r="S48" s="538">
        <f t="shared" si="19"/>
        <v>5115664</v>
      </c>
      <c r="T48" s="536">
        <f t="shared" si="1"/>
        <v>1.5529556983345996</v>
      </c>
      <c r="U48" s="521">
        <f t="shared" si="3"/>
        <v>0</v>
      </c>
      <c r="V48" s="522"/>
      <c r="W48" s="522"/>
    </row>
    <row r="49" spans="1:23" ht="18" customHeight="1">
      <c r="A49" s="486" t="s">
        <v>485</v>
      </c>
      <c r="B49" s="486" t="s">
        <v>485</v>
      </c>
      <c r="C49" s="480">
        <f t="shared" si="15"/>
        <v>6001752</v>
      </c>
      <c r="D49" s="480">
        <v>5709071</v>
      </c>
      <c r="E49" s="482">
        <v>292681</v>
      </c>
      <c r="F49" s="482"/>
      <c r="G49" s="482"/>
      <c r="H49" s="480">
        <f t="shared" si="17"/>
        <v>6001752</v>
      </c>
      <c r="I49" s="480">
        <f>+J49+K49+L49+M49+N49+O49+P49+Q49</f>
        <v>3878297</v>
      </c>
      <c r="J49" s="482">
        <v>88820</v>
      </c>
      <c r="K49" s="482">
        <v>657414</v>
      </c>
      <c r="L49" s="481"/>
      <c r="M49" s="482">
        <v>3132063</v>
      </c>
      <c r="N49" s="482"/>
      <c r="O49" s="481"/>
      <c r="P49" s="481"/>
      <c r="Q49" s="481"/>
      <c r="R49" s="482">
        <v>2123455</v>
      </c>
      <c r="S49" s="538">
        <f t="shared" si="19"/>
        <v>5255518</v>
      </c>
      <c r="T49" s="536">
        <f t="shared" si="1"/>
        <v>19.24128038672644</v>
      </c>
      <c r="U49" s="521">
        <f t="shared" si="3"/>
        <v>0</v>
      </c>
      <c r="V49" s="522"/>
      <c r="W49" s="522"/>
    </row>
    <row r="50" spans="1:23" ht="18" customHeight="1">
      <c r="A50" s="486" t="s">
        <v>549</v>
      </c>
      <c r="B50" s="486" t="s">
        <v>549</v>
      </c>
      <c r="C50" s="480">
        <f t="shared" si="15"/>
        <v>4816997</v>
      </c>
      <c r="D50" s="480">
        <v>4804345</v>
      </c>
      <c r="E50" s="482">
        <v>12652</v>
      </c>
      <c r="F50" s="482"/>
      <c r="G50" s="482"/>
      <c r="H50" s="480">
        <f t="shared" si="17"/>
        <v>4816997</v>
      </c>
      <c r="I50" s="480">
        <f>+J50+K50+L50+M50+N50+O50+P50+Q50</f>
        <v>2339920</v>
      </c>
      <c r="J50" s="482">
        <v>239985</v>
      </c>
      <c r="K50" s="482"/>
      <c r="L50" s="481"/>
      <c r="M50" s="482">
        <v>1667857</v>
      </c>
      <c r="N50" s="482">
        <v>432078</v>
      </c>
      <c r="O50" s="481"/>
      <c r="P50" s="481"/>
      <c r="Q50" s="481"/>
      <c r="R50" s="482">
        <v>2477077</v>
      </c>
      <c r="S50" s="538">
        <f t="shared" si="19"/>
        <v>4577012</v>
      </c>
      <c r="T50" s="536">
        <f t="shared" si="1"/>
        <v>10.256119867345891</v>
      </c>
      <c r="U50" s="521">
        <f t="shared" si="3"/>
        <v>0</v>
      </c>
      <c r="V50" s="522"/>
      <c r="W50" s="522"/>
    </row>
    <row r="51" spans="1:23" ht="18" customHeight="1">
      <c r="A51" s="478" t="s">
        <v>60</v>
      </c>
      <c r="B51" s="479" t="s">
        <v>484</v>
      </c>
      <c r="C51" s="480">
        <f t="shared" si="15"/>
        <v>63891237</v>
      </c>
      <c r="D51" s="480">
        <f>SUM(D52:D57)</f>
        <v>59657129</v>
      </c>
      <c r="E51" s="480">
        <f>SUM(E52:E57)</f>
        <v>4234108</v>
      </c>
      <c r="F51" s="480">
        <f>SUM(F52:F57)</f>
        <v>230208</v>
      </c>
      <c r="G51" s="480">
        <f>SUM(G52:G57)</f>
        <v>0</v>
      </c>
      <c r="H51" s="480">
        <f t="shared" si="17"/>
        <v>63661029</v>
      </c>
      <c r="I51" s="480">
        <f aca="true" t="shared" si="21" ref="I51:I74">SUM(J51:Q51)</f>
        <v>20760824</v>
      </c>
      <c r="J51" s="480">
        <f>SUM(J52:J57)</f>
        <v>696360</v>
      </c>
      <c r="K51" s="480">
        <f>SUM(K52:K57)</f>
        <v>418083</v>
      </c>
      <c r="L51" s="480">
        <f>SUM(L52:L57)</f>
        <v>0</v>
      </c>
      <c r="M51" s="480">
        <f aca="true" t="shared" si="22" ref="M51:R51">SUM(M52:M57)</f>
        <v>19646381</v>
      </c>
      <c r="N51" s="480">
        <f t="shared" si="22"/>
        <v>0</v>
      </c>
      <c r="O51" s="480">
        <f t="shared" si="22"/>
        <v>0</v>
      </c>
      <c r="P51" s="480">
        <f t="shared" si="22"/>
        <v>0</v>
      </c>
      <c r="Q51" s="480">
        <f t="shared" si="22"/>
        <v>0</v>
      </c>
      <c r="R51" s="480">
        <f t="shared" si="22"/>
        <v>42900205</v>
      </c>
      <c r="S51" s="483">
        <f aca="true" t="shared" si="23" ref="S51:S74">SUM(M51:R51)</f>
        <v>62546586</v>
      </c>
      <c r="T51" s="535">
        <f t="shared" si="1"/>
        <v>5.368009477851168</v>
      </c>
      <c r="U51" s="521">
        <f t="shared" si="3"/>
        <v>0</v>
      </c>
      <c r="V51" s="522"/>
      <c r="W51" s="522"/>
    </row>
    <row r="52" spans="1:23" ht="18" customHeight="1">
      <c r="A52" s="481" t="s">
        <v>483</v>
      </c>
      <c r="B52" s="493" t="s">
        <v>516</v>
      </c>
      <c r="C52" s="480">
        <f t="shared" si="15"/>
        <v>3959767</v>
      </c>
      <c r="D52" s="456">
        <v>3789055</v>
      </c>
      <c r="E52" s="456">
        <v>170712</v>
      </c>
      <c r="F52" s="456">
        <v>0</v>
      </c>
      <c r="G52" s="482"/>
      <c r="H52" s="480">
        <f t="shared" si="17"/>
        <v>3959767</v>
      </c>
      <c r="I52" s="480">
        <f t="shared" si="21"/>
        <v>613323</v>
      </c>
      <c r="J52" s="456">
        <v>17371</v>
      </c>
      <c r="K52" s="456"/>
      <c r="L52" s="456">
        <v>0</v>
      </c>
      <c r="M52" s="456">
        <v>595952</v>
      </c>
      <c r="N52" s="456"/>
      <c r="O52" s="456"/>
      <c r="P52" s="456"/>
      <c r="Q52" s="456"/>
      <c r="R52" s="456">
        <v>3346444</v>
      </c>
      <c r="S52" s="483">
        <f t="shared" si="23"/>
        <v>3942396</v>
      </c>
      <c r="T52" s="536">
        <f t="shared" si="1"/>
        <v>2.8322759785626825</v>
      </c>
      <c r="U52" s="521">
        <f t="shared" si="3"/>
        <v>0</v>
      </c>
      <c r="V52" s="522"/>
      <c r="W52" s="522"/>
    </row>
    <row r="53" spans="1:23" ht="18" customHeight="1">
      <c r="A53" s="481" t="s">
        <v>482</v>
      </c>
      <c r="B53" s="493" t="s">
        <v>481</v>
      </c>
      <c r="C53" s="480">
        <f t="shared" si="15"/>
        <v>22269215</v>
      </c>
      <c r="D53" s="456">
        <v>21730073</v>
      </c>
      <c r="E53" s="456">
        <v>539142</v>
      </c>
      <c r="F53" s="456">
        <v>0</v>
      </c>
      <c r="G53" s="482"/>
      <c r="H53" s="480">
        <f t="shared" si="17"/>
        <v>22269215</v>
      </c>
      <c r="I53" s="480">
        <f t="shared" si="21"/>
        <v>6803404</v>
      </c>
      <c r="J53" s="456">
        <v>163514</v>
      </c>
      <c r="K53" s="456">
        <v>340745</v>
      </c>
      <c r="L53" s="456">
        <v>0</v>
      </c>
      <c r="M53" s="456">
        <v>6299145</v>
      </c>
      <c r="N53" s="456"/>
      <c r="O53" s="456"/>
      <c r="P53" s="456"/>
      <c r="Q53" s="456"/>
      <c r="R53" s="456">
        <v>15465811</v>
      </c>
      <c r="S53" s="483">
        <f t="shared" si="23"/>
        <v>21764956</v>
      </c>
      <c r="T53" s="536">
        <f t="shared" si="1"/>
        <v>7.411863237873276</v>
      </c>
      <c r="U53" s="521">
        <f t="shared" si="3"/>
        <v>0</v>
      </c>
      <c r="V53" s="522"/>
      <c r="W53" s="522"/>
    </row>
    <row r="54" spans="1:23" ht="18" customHeight="1">
      <c r="A54" s="481" t="s">
        <v>480</v>
      </c>
      <c r="B54" s="493" t="s">
        <v>479</v>
      </c>
      <c r="C54" s="480">
        <f t="shared" si="15"/>
        <v>18412731</v>
      </c>
      <c r="D54" s="456">
        <v>17932902</v>
      </c>
      <c r="E54" s="456">
        <v>479829</v>
      </c>
      <c r="F54" s="456">
        <v>136248</v>
      </c>
      <c r="G54" s="482"/>
      <c r="H54" s="480">
        <f t="shared" si="17"/>
        <v>18276483</v>
      </c>
      <c r="I54" s="480">
        <f t="shared" si="21"/>
        <v>5241922</v>
      </c>
      <c r="J54" s="456">
        <v>391818</v>
      </c>
      <c r="K54" s="456">
        <v>12550</v>
      </c>
      <c r="L54" s="456"/>
      <c r="M54" s="456">
        <v>4837554</v>
      </c>
      <c r="N54" s="456"/>
      <c r="O54" s="456"/>
      <c r="P54" s="456"/>
      <c r="Q54" s="456"/>
      <c r="R54" s="456">
        <v>13034561</v>
      </c>
      <c r="S54" s="483">
        <f t="shared" si="23"/>
        <v>17872115</v>
      </c>
      <c r="T54" s="536">
        <f t="shared" si="1"/>
        <v>7.714117073851918</v>
      </c>
      <c r="U54" s="521">
        <f t="shared" si="3"/>
        <v>0</v>
      </c>
      <c r="V54" s="522"/>
      <c r="W54" s="522"/>
    </row>
    <row r="55" spans="1:23" ht="18" customHeight="1">
      <c r="A55" s="481" t="s">
        <v>478</v>
      </c>
      <c r="B55" s="493" t="s">
        <v>477</v>
      </c>
      <c r="C55" s="480">
        <f t="shared" si="15"/>
        <v>5475693</v>
      </c>
      <c r="D55" s="456">
        <v>4104106</v>
      </c>
      <c r="E55" s="456">
        <v>1371587</v>
      </c>
      <c r="F55" s="456">
        <v>93960</v>
      </c>
      <c r="G55" s="482"/>
      <c r="H55" s="480">
        <f t="shared" si="17"/>
        <v>5381733</v>
      </c>
      <c r="I55" s="480">
        <f t="shared" si="21"/>
        <v>2792448</v>
      </c>
      <c r="J55" s="456">
        <v>84548</v>
      </c>
      <c r="K55" s="456">
        <v>55688</v>
      </c>
      <c r="L55" s="456">
        <v>0</v>
      </c>
      <c r="M55" s="456">
        <v>2652212</v>
      </c>
      <c r="N55" s="456"/>
      <c r="O55" s="456"/>
      <c r="P55" s="456"/>
      <c r="Q55" s="456"/>
      <c r="R55" s="456">
        <v>2589285</v>
      </c>
      <c r="S55" s="483">
        <f t="shared" si="23"/>
        <v>5241497</v>
      </c>
      <c r="T55" s="536">
        <f t="shared" si="1"/>
        <v>5.021973551521819</v>
      </c>
      <c r="U55" s="521">
        <f t="shared" si="3"/>
        <v>0</v>
      </c>
      <c r="V55" s="522"/>
      <c r="W55" s="522"/>
    </row>
    <row r="56" spans="1:23" ht="18" customHeight="1">
      <c r="A56" s="481" t="s">
        <v>476</v>
      </c>
      <c r="B56" s="493" t="s">
        <v>545</v>
      </c>
      <c r="C56" s="480">
        <f t="shared" si="15"/>
        <v>10212003</v>
      </c>
      <c r="D56" s="456">
        <v>10128670</v>
      </c>
      <c r="E56" s="456">
        <v>83333</v>
      </c>
      <c r="F56" s="456">
        <v>0</v>
      </c>
      <c r="G56" s="482"/>
      <c r="H56" s="480">
        <f t="shared" si="17"/>
        <v>10212003</v>
      </c>
      <c r="I56" s="480">
        <f t="shared" si="21"/>
        <v>3380149</v>
      </c>
      <c r="J56" s="456">
        <v>34742</v>
      </c>
      <c r="K56" s="456">
        <v>9100</v>
      </c>
      <c r="L56" s="456">
        <v>0</v>
      </c>
      <c r="M56" s="456">
        <v>3336307</v>
      </c>
      <c r="N56" s="456"/>
      <c r="O56" s="456"/>
      <c r="P56" s="456"/>
      <c r="Q56" s="456"/>
      <c r="R56" s="456">
        <v>6831854</v>
      </c>
      <c r="S56" s="483">
        <f t="shared" si="23"/>
        <v>10168161</v>
      </c>
      <c r="T56" s="536">
        <f t="shared" si="1"/>
        <v>1.2970434143583611</v>
      </c>
      <c r="U56" s="521">
        <f t="shared" si="3"/>
        <v>0</v>
      </c>
      <c r="V56" s="522"/>
      <c r="W56" s="522"/>
    </row>
    <row r="57" spans="1:23" ht="18" customHeight="1">
      <c r="A57" s="481" t="s">
        <v>551</v>
      </c>
      <c r="B57" s="493" t="s">
        <v>550</v>
      </c>
      <c r="C57" s="480">
        <f t="shared" si="15"/>
        <v>3561828</v>
      </c>
      <c r="D57" s="482">
        <v>1972323</v>
      </c>
      <c r="E57" s="482">
        <v>1589505</v>
      </c>
      <c r="F57" s="525"/>
      <c r="G57" s="482"/>
      <c r="H57" s="480">
        <f t="shared" si="17"/>
        <v>3561828</v>
      </c>
      <c r="I57" s="480">
        <f t="shared" si="21"/>
        <v>1929578</v>
      </c>
      <c r="J57" s="482">
        <v>4367</v>
      </c>
      <c r="K57" s="482"/>
      <c r="L57" s="525"/>
      <c r="M57" s="482">
        <v>1925211</v>
      </c>
      <c r="N57" s="525"/>
      <c r="O57" s="525"/>
      <c r="P57" s="525"/>
      <c r="Q57" s="525"/>
      <c r="R57" s="482">
        <v>1632250</v>
      </c>
      <c r="S57" s="483">
        <f t="shared" si="23"/>
        <v>3557461</v>
      </c>
      <c r="T57" s="536">
        <f t="shared" si="1"/>
        <v>0.22631891532760012</v>
      </c>
      <c r="U57" s="521">
        <f t="shared" si="3"/>
        <v>0</v>
      </c>
      <c r="V57" s="522"/>
      <c r="W57" s="522"/>
    </row>
    <row r="58" spans="1:23" ht="18" customHeight="1">
      <c r="A58" s="478" t="s">
        <v>61</v>
      </c>
      <c r="B58" s="479" t="s">
        <v>475</v>
      </c>
      <c r="C58" s="480">
        <f t="shared" si="15"/>
        <v>34109685</v>
      </c>
      <c r="D58" s="480">
        <f>SUM(D59:D63)</f>
        <v>30124605</v>
      </c>
      <c r="E58" s="480">
        <f>SUM(E59:E63)</f>
        <v>3985080</v>
      </c>
      <c r="F58" s="480">
        <f>SUM(F59:F63)</f>
        <v>33700</v>
      </c>
      <c r="G58" s="480">
        <f>SUM(G59:G63)</f>
        <v>0</v>
      </c>
      <c r="H58" s="480">
        <f t="shared" si="17"/>
        <v>34075985</v>
      </c>
      <c r="I58" s="480">
        <f t="shared" si="21"/>
        <v>18911083</v>
      </c>
      <c r="J58" s="480">
        <f>SUM(J59:J63)</f>
        <v>700238</v>
      </c>
      <c r="K58" s="480">
        <f>SUM(K59:K63)</f>
        <v>328859</v>
      </c>
      <c r="L58" s="480">
        <f>SUM(L59:L63)</f>
        <v>0</v>
      </c>
      <c r="M58" s="480">
        <f aca="true" t="shared" si="24" ref="M58:R58">SUM(M59:M63)</f>
        <v>16377872</v>
      </c>
      <c r="N58" s="480">
        <f t="shared" si="24"/>
        <v>2862</v>
      </c>
      <c r="O58" s="480">
        <f t="shared" si="24"/>
        <v>0</v>
      </c>
      <c r="P58" s="480">
        <f t="shared" si="24"/>
        <v>0</v>
      </c>
      <c r="Q58" s="480">
        <f t="shared" si="24"/>
        <v>1501252</v>
      </c>
      <c r="R58" s="480">
        <f t="shared" si="24"/>
        <v>15164902</v>
      </c>
      <c r="S58" s="483">
        <f t="shared" si="23"/>
        <v>33046888</v>
      </c>
      <c r="T58" s="535">
        <f t="shared" si="1"/>
        <v>5.441766608501481</v>
      </c>
      <c r="U58" s="521">
        <f t="shared" si="3"/>
        <v>0</v>
      </c>
      <c r="V58" s="522"/>
      <c r="W58" s="522"/>
    </row>
    <row r="59" spans="1:23" ht="18" customHeight="1">
      <c r="A59" s="481" t="s">
        <v>474</v>
      </c>
      <c r="B59" s="493" t="s">
        <v>473</v>
      </c>
      <c r="C59" s="480">
        <f t="shared" si="15"/>
        <v>8548385</v>
      </c>
      <c r="D59" s="482">
        <v>7533517</v>
      </c>
      <c r="E59" s="482">
        <v>1014868</v>
      </c>
      <c r="F59" s="482"/>
      <c r="G59" s="482"/>
      <c r="H59" s="480">
        <f t="shared" si="17"/>
        <v>8548385</v>
      </c>
      <c r="I59" s="480">
        <f t="shared" si="21"/>
        <v>3334695</v>
      </c>
      <c r="J59" s="482">
        <v>76923</v>
      </c>
      <c r="K59" s="482">
        <v>2566</v>
      </c>
      <c r="L59" s="482"/>
      <c r="M59" s="482">
        <v>3255206</v>
      </c>
      <c r="N59" s="482"/>
      <c r="O59" s="482"/>
      <c r="P59" s="482"/>
      <c r="Q59" s="482"/>
      <c r="R59" s="482">
        <v>5213690</v>
      </c>
      <c r="S59" s="483">
        <f t="shared" si="23"/>
        <v>8468896</v>
      </c>
      <c r="T59" s="536">
        <f t="shared" si="1"/>
        <v>2.3836962600777585</v>
      </c>
      <c r="U59" s="521">
        <f t="shared" si="3"/>
        <v>0</v>
      </c>
      <c r="V59" s="522"/>
      <c r="W59" s="522"/>
    </row>
    <row r="60" spans="1:23" ht="18" customHeight="1">
      <c r="A60" s="481" t="s">
        <v>472</v>
      </c>
      <c r="B60" s="493" t="s">
        <v>471</v>
      </c>
      <c r="C60" s="480">
        <f t="shared" si="15"/>
        <v>6555862</v>
      </c>
      <c r="D60" s="482">
        <v>6502436</v>
      </c>
      <c r="E60" s="482">
        <v>53426</v>
      </c>
      <c r="F60" s="482"/>
      <c r="G60" s="482"/>
      <c r="H60" s="480">
        <f t="shared" si="17"/>
        <v>6555862</v>
      </c>
      <c r="I60" s="480">
        <f t="shared" si="21"/>
        <v>2750135</v>
      </c>
      <c r="J60" s="482">
        <v>71040</v>
      </c>
      <c r="K60" s="482">
        <v>12636</v>
      </c>
      <c r="L60" s="482"/>
      <c r="M60" s="482">
        <v>2666459</v>
      </c>
      <c r="N60" s="482"/>
      <c r="O60" s="482"/>
      <c r="P60" s="482"/>
      <c r="Q60" s="482"/>
      <c r="R60" s="482">
        <v>3805727</v>
      </c>
      <c r="S60" s="483">
        <f t="shared" si="23"/>
        <v>6472186</v>
      </c>
      <c r="T60" s="536">
        <f t="shared" si="1"/>
        <v>3.0426142716630276</v>
      </c>
      <c r="U60" s="521">
        <f t="shared" si="3"/>
        <v>0</v>
      </c>
      <c r="V60" s="522"/>
      <c r="W60" s="522"/>
    </row>
    <row r="61" spans="1:23" ht="18" customHeight="1">
      <c r="A61" s="481" t="s">
        <v>470</v>
      </c>
      <c r="B61" s="493" t="s">
        <v>469</v>
      </c>
      <c r="C61" s="480">
        <f t="shared" si="15"/>
        <v>2552964</v>
      </c>
      <c r="D61" s="482">
        <v>1807283</v>
      </c>
      <c r="E61" s="482">
        <v>745681</v>
      </c>
      <c r="F61" s="482"/>
      <c r="G61" s="482"/>
      <c r="H61" s="480">
        <f t="shared" si="17"/>
        <v>2552964</v>
      </c>
      <c r="I61" s="480">
        <f t="shared" si="21"/>
        <v>1157597</v>
      </c>
      <c r="J61" s="482">
        <v>70249</v>
      </c>
      <c r="K61" s="482">
        <v>12392</v>
      </c>
      <c r="L61" s="482"/>
      <c r="M61" s="533">
        <v>1072094</v>
      </c>
      <c r="N61" s="482">
        <v>2862</v>
      </c>
      <c r="O61" s="482"/>
      <c r="P61" s="482"/>
      <c r="Q61" s="482"/>
      <c r="R61" s="482">
        <v>1395367</v>
      </c>
      <c r="S61" s="483">
        <f t="shared" si="23"/>
        <v>2470323</v>
      </c>
      <c r="T61" s="536">
        <f t="shared" si="1"/>
        <v>7.13901297256299</v>
      </c>
      <c r="U61" s="521">
        <f t="shared" si="3"/>
        <v>0</v>
      </c>
      <c r="V61" s="522"/>
      <c r="W61" s="522"/>
    </row>
    <row r="62" spans="1:23" ht="18" customHeight="1">
      <c r="A62" s="481" t="s">
        <v>468</v>
      </c>
      <c r="B62" s="493" t="s">
        <v>467</v>
      </c>
      <c r="C62" s="480">
        <f t="shared" si="15"/>
        <v>6115366</v>
      </c>
      <c r="D62" s="482">
        <v>5642750</v>
      </c>
      <c r="E62" s="482">
        <v>472616</v>
      </c>
      <c r="F62" s="482"/>
      <c r="G62" s="482"/>
      <c r="H62" s="480">
        <f t="shared" si="17"/>
        <v>6115366</v>
      </c>
      <c r="I62" s="480">
        <f t="shared" si="21"/>
        <v>3268171</v>
      </c>
      <c r="J62" s="482">
        <v>188378</v>
      </c>
      <c r="K62" s="482">
        <v>27998</v>
      </c>
      <c r="L62" s="482"/>
      <c r="M62" s="482">
        <v>2833171</v>
      </c>
      <c r="N62" s="482"/>
      <c r="O62" s="482"/>
      <c r="P62" s="482"/>
      <c r="Q62" s="482">
        <v>218624</v>
      </c>
      <c r="R62" s="482">
        <v>2847195</v>
      </c>
      <c r="S62" s="483">
        <f t="shared" si="23"/>
        <v>5898990</v>
      </c>
      <c r="T62" s="536">
        <f t="shared" si="1"/>
        <v>6.620706199277822</v>
      </c>
      <c r="U62" s="521">
        <f t="shared" si="3"/>
        <v>0</v>
      </c>
      <c r="V62" s="522"/>
      <c r="W62" s="522"/>
    </row>
    <row r="63" spans="1:23" ht="18" customHeight="1">
      <c r="A63" s="481" t="s">
        <v>466</v>
      </c>
      <c r="B63" s="493" t="s">
        <v>465</v>
      </c>
      <c r="C63" s="480">
        <f t="shared" si="15"/>
        <v>10337108</v>
      </c>
      <c r="D63" s="482">
        <v>8638619</v>
      </c>
      <c r="E63" s="482">
        <v>1698489</v>
      </c>
      <c r="F63" s="482">
        <v>33700</v>
      </c>
      <c r="G63" s="482"/>
      <c r="H63" s="480">
        <f t="shared" si="17"/>
        <v>10303408</v>
      </c>
      <c r="I63" s="480">
        <f t="shared" si="21"/>
        <v>8400485</v>
      </c>
      <c r="J63" s="482">
        <v>293648</v>
      </c>
      <c r="K63" s="482">
        <v>273267</v>
      </c>
      <c r="L63" s="482"/>
      <c r="M63" s="482">
        <v>6550942</v>
      </c>
      <c r="N63" s="482"/>
      <c r="O63" s="482"/>
      <c r="P63" s="482"/>
      <c r="Q63" s="482">
        <v>1282628</v>
      </c>
      <c r="R63" s="482">
        <v>1902923</v>
      </c>
      <c r="S63" s="483">
        <f t="shared" si="23"/>
        <v>9736493</v>
      </c>
      <c r="T63" s="536">
        <f t="shared" si="1"/>
        <v>6.748598444018411</v>
      </c>
      <c r="U63" s="521">
        <f t="shared" si="3"/>
        <v>0</v>
      </c>
      <c r="V63" s="522"/>
      <c r="W63" s="522"/>
    </row>
    <row r="64" spans="1:23" ht="19.5" customHeight="1">
      <c r="A64" s="478" t="s">
        <v>62</v>
      </c>
      <c r="B64" s="479" t="s">
        <v>464</v>
      </c>
      <c r="C64" s="480">
        <f t="shared" si="15"/>
        <v>128971223</v>
      </c>
      <c r="D64" s="480">
        <f>SUM(D65:D69)</f>
        <v>94878789</v>
      </c>
      <c r="E64" s="480">
        <f>SUM(E65:E69)</f>
        <v>34092434</v>
      </c>
      <c r="F64" s="480">
        <f>SUM(F65:F69)</f>
        <v>0</v>
      </c>
      <c r="G64" s="480">
        <f>SUM(G65:G69)</f>
        <v>0</v>
      </c>
      <c r="H64" s="480">
        <f t="shared" si="17"/>
        <v>128971223</v>
      </c>
      <c r="I64" s="480">
        <f t="shared" si="21"/>
        <v>112152660</v>
      </c>
      <c r="J64" s="480">
        <f>SUM(J65:J69)</f>
        <v>985135</v>
      </c>
      <c r="K64" s="480">
        <f>SUM(K65:K69)</f>
        <v>208905</v>
      </c>
      <c r="L64" s="480">
        <f>SUM(L65:L69)</f>
        <v>0</v>
      </c>
      <c r="M64" s="480">
        <f aca="true" t="shared" si="25" ref="M64:R64">SUM(M65:M69)</f>
        <v>110925770</v>
      </c>
      <c r="N64" s="480">
        <f t="shared" si="25"/>
        <v>0</v>
      </c>
      <c r="O64" s="480">
        <f t="shared" si="25"/>
        <v>32850</v>
      </c>
      <c r="P64" s="480">
        <f t="shared" si="25"/>
        <v>0</v>
      </c>
      <c r="Q64" s="480">
        <f t="shared" si="25"/>
        <v>0</v>
      </c>
      <c r="R64" s="480">
        <f t="shared" si="25"/>
        <v>16818563</v>
      </c>
      <c r="S64" s="483">
        <f t="shared" si="23"/>
        <v>127777183</v>
      </c>
      <c r="T64" s="536">
        <f t="shared" si="1"/>
        <v>1.0646559787346996</v>
      </c>
      <c r="U64" s="521">
        <f t="shared" si="3"/>
        <v>0</v>
      </c>
      <c r="V64" s="522"/>
      <c r="W64" s="522"/>
    </row>
    <row r="65" spans="1:23" ht="19.5" customHeight="1">
      <c r="A65" s="481" t="s">
        <v>463</v>
      </c>
      <c r="B65" s="494" t="s">
        <v>462</v>
      </c>
      <c r="C65" s="480">
        <f t="shared" si="15"/>
        <v>22056043</v>
      </c>
      <c r="D65" s="457">
        <v>16703175</v>
      </c>
      <c r="E65" s="457">
        <v>5352868</v>
      </c>
      <c r="F65" s="540"/>
      <c r="G65" s="457"/>
      <c r="H65" s="480">
        <f t="shared" si="17"/>
        <v>22056043</v>
      </c>
      <c r="I65" s="480">
        <f t="shared" si="21"/>
        <v>20649438</v>
      </c>
      <c r="J65" s="457">
        <v>529002</v>
      </c>
      <c r="K65" s="457">
        <v>125858</v>
      </c>
      <c r="L65" s="457"/>
      <c r="M65" s="457">
        <v>19994578</v>
      </c>
      <c r="N65" s="457"/>
      <c r="O65" s="457"/>
      <c r="P65" s="457"/>
      <c r="Q65" s="457"/>
      <c r="R65" s="457">
        <v>1406605</v>
      </c>
      <c r="S65" s="483">
        <f t="shared" si="23"/>
        <v>21401183</v>
      </c>
      <c r="T65" s="536">
        <f t="shared" si="1"/>
        <v>3.171321175908032</v>
      </c>
      <c r="U65" s="521">
        <f t="shared" si="3"/>
        <v>0</v>
      </c>
      <c r="V65" s="522"/>
      <c r="W65" s="522"/>
    </row>
    <row r="66" spans="1:23" ht="19.5" customHeight="1">
      <c r="A66" s="481" t="s">
        <v>461</v>
      </c>
      <c r="B66" s="494" t="s">
        <v>460</v>
      </c>
      <c r="C66" s="480">
        <f t="shared" si="15"/>
        <v>28805782</v>
      </c>
      <c r="D66" s="457">
        <v>26036092</v>
      </c>
      <c r="E66" s="457">
        <v>2769690</v>
      </c>
      <c r="F66" s="540"/>
      <c r="G66" s="457"/>
      <c r="H66" s="480">
        <f t="shared" si="17"/>
        <v>28805782</v>
      </c>
      <c r="I66" s="480">
        <f t="shared" si="21"/>
        <v>23366784</v>
      </c>
      <c r="J66" s="457">
        <v>184972</v>
      </c>
      <c r="K66" s="457">
        <v>1676</v>
      </c>
      <c r="L66" s="457"/>
      <c r="M66" s="457">
        <v>23180136</v>
      </c>
      <c r="N66" s="457"/>
      <c r="O66" s="457"/>
      <c r="P66" s="457"/>
      <c r="Q66" s="457"/>
      <c r="R66" s="457">
        <v>5438998</v>
      </c>
      <c r="S66" s="483">
        <f t="shared" si="23"/>
        <v>28619134</v>
      </c>
      <c r="T66" s="536">
        <f t="shared" si="1"/>
        <v>0.7987748763372828</v>
      </c>
      <c r="U66" s="521">
        <f t="shared" si="3"/>
        <v>0</v>
      </c>
      <c r="V66" s="522"/>
      <c r="W66" s="522"/>
    </row>
    <row r="67" spans="1:23" ht="19.5" customHeight="1">
      <c r="A67" s="481" t="s">
        <v>459</v>
      </c>
      <c r="B67" s="494" t="s">
        <v>458</v>
      </c>
      <c r="C67" s="480">
        <f t="shared" si="15"/>
        <v>21752065</v>
      </c>
      <c r="D67" s="457">
        <v>17231002</v>
      </c>
      <c r="E67" s="457">
        <v>4521063</v>
      </c>
      <c r="F67" s="540"/>
      <c r="G67" s="457"/>
      <c r="H67" s="480">
        <f t="shared" si="17"/>
        <v>21752065</v>
      </c>
      <c r="I67" s="480">
        <f t="shared" si="21"/>
        <v>20661286</v>
      </c>
      <c r="J67" s="457">
        <v>113052</v>
      </c>
      <c r="K67" s="457"/>
      <c r="L67" s="457"/>
      <c r="M67" s="457">
        <v>20515384</v>
      </c>
      <c r="N67" s="457"/>
      <c r="O67" s="457">
        <v>32850</v>
      </c>
      <c r="P67" s="457"/>
      <c r="Q67" s="457"/>
      <c r="R67" s="457">
        <v>1090779</v>
      </c>
      <c r="S67" s="483">
        <f t="shared" si="23"/>
        <v>21639013</v>
      </c>
      <c r="T67" s="536">
        <f t="shared" si="1"/>
        <v>0.5471682643568265</v>
      </c>
      <c r="U67" s="521">
        <f t="shared" si="3"/>
        <v>0</v>
      </c>
      <c r="V67" s="522"/>
      <c r="W67" s="522"/>
    </row>
    <row r="68" spans="1:23" ht="19.5" customHeight="1">
      <c r="A68" s="481" t="s">
        <v>457</v>
      </c>
      <c r="B68" s="494" t="s">
        <v>456</v>
      </c>
      <c r="C68" s="480">
        <f t="shared" si="15"/>
        <v>19338733</v>
      </c>
      <c r="D68" s="457">
        <v>19219490</v>
      </c>
      <c r="E68" s="457">
        <v>119243</v>
      </c>
      <c r="F68" s="540"/>
      <c r="G68" s="457"/>
      <c r="H68" s="480">
        <f t="shared" si="17"/>
        <v>19338733</v>
      </c>
      <c r="I68" s="480">
        <f t="shared" si="21"/>
        <v>19321427</v>
      </c>
      <c r="J68" s="457">
        <v>3650</v>
      </c>
      <c r="K68" s="457">
        <v>8400</v>
      </c>
      <c r="L68" s="457"/>
      <c r="M68" s="457">
        <v>19309377</v>
      </c>
      <c r="N68" s="457"/>
      <c r="O68" s="457"/>
      <c r="P68" s="457"/>
      <c r="Q68" s="457"/>
      <c r="R68" s="457">
        <v>17306</v>
      </c>
      <c r="S68" s="483">
        <f t="shared" si="23"/>
        <v>19326683</v>
      </c>
      <c r="T68" s="536">
        <f t="shared" si="1"/>
        <v>0.06236599398170746</v>
      </c>
      <c r="U68" s="521">
        <f t="shared" si="3"/>
        <v>0</v>
      </c>
      <c r="V68" s="522"/>
      <c r="W68" s="522"/>
    </row>
    <row r="69" spans="1:23" ht="19.5" customHeight="1">
      <c r="A69" s="481" t="s">
        <v>455</v>
      </c>
      <c r="B69" s="494" t="s">
        <v>454</v>
      </c>
      <c r="C69" s="480">
        <f t="shared" si="15"/>
        <v>37018600</v>
      </c>
      <c r="D69" s="457">
        <v>15689030</v>
      </c>
      <c r="E69" s="457">
        <v>21329570</v>
      </c>
      <c r="F69" s="540"/>
      <c r="G69" s="457"/>
      <c r="H69" s="480">
        <f t="shared" si="17"/>
        <v>37018600</v>
      </c>
      <c r="I69" s="480">
        <f t="shared" si="21"/>
        <v>28153725</v>
      </c>
      <c r="J69" s="457">
        <v>154459</v>
      </c>
      <c r="K69" s="457">
        <v>72971</v>
      </c>
      <c r="L69" s="457"/>
      <c r="M69" s="457">
        <v>27926295</v>
      </c>
      <c r="N69" s="457"/>
      <c r="O69" s="457"/>
      <c r="P69" s="457"/>
      <c r="Q69" s="457"/>
      <c r="R69" s="457">
        <v>8864875</v>
      </c>
      <c r="S69" s="483">
        <f t="shared" si="23"/>
        <v>36791170</v>
      </c>
      <c r="T69" s="536">
        <f t="shared" si="1"/>
        <v>0.8078149516627019</v>
      </c>
      <c r="U69" s="521">
        <f t="shared" si="3"/>
        <v>0</v>
      </c>
      <c r="V69" s="522"/>
      <c r="W69" s="522"/>
    </row>
    <row r="70" spans="1:23" ht="19.5" customHeight="1">
      <c r="A70" s="478" t="s">
        <v>63</v>
      </c>
      <c r="B70" s="479" t="s">
        <v>453</v>
      </c>
      <c r="C70" s="480">
        <f t="shared" si="15"/>
        <v>35413339</v>
      </c>
      <c r="D70" s="480">
        <f>SUM(D71:D74)</f>
        <v>31889305</v>
      </c>
      <c r="E70" s="480">
        <f>SUM(E71:E74)</f>
        <v>3524034</v>
      </c>
      <c r="F70" s="480">
        <f>SUM(F71:F74)</f>
        <v>0</v>
      </c>
      <c r="G70" s="480">
        <f>SUM(G71:G74)</f>
        <v>0</v>
      </c>
      <c r="H70" s="480">
        <f t="shared" si="17"/>
        <v>35413339</v>
      </c>
      <c r="I70" s="480">
        <f t="shared" si="21"/>
        <v>13811598</v>
      </c>
      <c r="J70" s="480">
        <f>SUM(J71:J74)</f>
        <v>709114</v>
      </c>
      <c r="K70" s="480">
        <f>SUM(K71:K74)</f>
        <v>76000</v>
      </c>
      <c r="L70" s="480">
        <f>SUM(L71:L74)</f>
        <v>0</v>
      </c>
      <c r="M70" s="480">
        <f aca="true" t="shared" si="26" ref="M70:R70">SUM(M71:M74)</f>
        <v>12767635</v>
      </c>
      <c r="N70" s="480">
        <f t="shared" si="26"/>
        <v>75428</v>
      </c>
      <c r="O70" s="480">
        <f t="shared" si="26"/>
        <v>0</v>
      </c>
      <c r="P70" s="480">
        <f t="shared" si="26"/>
        <v>0</v>
      </c>
      <c r="Q70" s="480">
        <f t="shared" si="26"/>
        <v>183421</v>
      </c>
      <c r="R70" s="480">
        <f t="shared" si="26"/>
        <v>21601741</v>
      </c>
      <c r="S70" s="483">
        <f t="shared" si="23"/>
        <v>34628225</v>
      </c>
      <c r="T70" s="535">
        <f t="shared" si="1"/>
        <v>5.684454470800555</v>
      </c>
      <c r="U70" s="521">
        <f t="shared" si="3"/>
        <v>0</v>
      </c>
      <c r="V70" s="522"/>
      <c r="W70" s="522"/>
    </row>
    <row r="71" spans="1:23" ht="19.5" customHeight="1">
      <c r="A71" s="481" t="s">
        <v>452</v>
      </c>
      <c r="B71" s="493" t="s">
        <v>451</v>
      </c>
      <c r="C71" s="480">
        <f t="shared" si="15"/>
        <v>3379978</v>
      </c>
      <c r="D71" s="455">
        <v>3336664</v>
      </c>
      <c r="E71" s="490">
        <v>43314</v>
      </c>
      <c r="F71" s="490"/>
      <c r="G71" s="482"/>
      <c r="H71" s="480">
        <f t="shared" si="17"/>
        <v>3379978</v>
      </c>
      <c r="I71" s="480">
        <f t="shared" si="21"/>
        <v>817093</v>
      </c>
      <c r="J71" s="490">
        <v>40857</v>
      </c>
      <c r="K71" s="490"/>
      <c r="L71" s="490"/>
      <c r="M71" s="490">
        <v>776236</v>
      </c>
      <c r="N71" s="490"/>
      <c r="O71" s="490"/>
      <c r="P71" s="490"/>
      <c r="Q71" s="490"/>
      <c r="R71" s="539">
        <v>2562885</v>
      </c>
      <c r="S71" s="483">
        <f t="shared" si="23"/>
        <v>3339121</v>
      </c>
      <c r="T71" s="536">
        <f t="shared" si="1"/>
        <v>5.000287604960513</v>
      </c>
      <c r="U71" s="521">
        <f t="shared" si="3"/>
        <v>0</v>
      </c>
      <c r="V71" s="522"/>
      <c r="W71" s="522"/>
    </row>
    <row r="72" spans="1:23" ht="19.5" customHeight="1">
      <c r="A72" s="481" t="s">
        <v>450</v>
      </c>
      <c r="B72" s="493" t="s">
        <v>449</v>
      </c>
      <c r="C72" s="480">
        <f t="shared" si="15"/>
        <v>8382577</v>
      </c>
      <c r="D72" s="455">
        <v>7203304</v>
      </c>
      <c r="E72" s="490">
        <v>1179273</v>
      </c>
      <c r="F72" s="490"/>
      <c r="G72" s="482"/>
      <c r="H72" s="480">
        <f t="shared" si="17"/>
        <v>8382577</v>
      </c>
      <c r="I72" s="480">
        <f t="shared" si="21"/>
        <v>3535201</v>
      </c>
      <c r="J72" s="490">
        <v>431083</v>
      </c>
      <c r="K72" s="490">
        <v>76000</v>
      </c>
      <c r="L72" s="490"/>
      <c r="M72" s="490">
        <v>2952690</v>
      </c>
      <c r="N72" s="490">
        <v>75428</v>
      </c>
      <c r="O72" s="490"/>
      <c r="P72" s="490"/>
      <c r="Q72" s="490"/>
      <c r="R72" s="539">
        <v>4847376</v>
      </c>
      <c r="S72" s="483">
        <f t="shared" si="23"/>
        <v>7875494</v>
      </c>
      <c r="T72" s="536">
        <f t="shared" si="1"/>
        <v>14.343823731663349</v>
      </c>
      <c r="U72" s="521">
        <f t="shared" si="3"/>
        <v>0</v>
      </c>
      <c r="V72" s="522"/>
      <c r="W72" s="522"/>
    </row>
    <row r="73" spans="1:23" ht="19.5" customHeight="1">
      <c r="A73" s="481" t="s">
        <v>448</v>
      </c>
      <c r="B73" s="493" t="s">
        <v>523</v>
      </c>
      <c r="C73" s="480">
        <f t="shared" si="15"/>
        <v>5965696</v>
      </c>
      <c r="D73" s="455">
        <v>4472457</v>
      </c>
      <c r="E73" s="490">
        <v>1493239</v>
      </c>
      <c r="F73" s="490"/>
      <c r="G73" s="482"/>
      <c r="H73" s="480">
        <f t="shared" si="17"/>
        <v>5965696</v>
      </c>
      <c r="I73" s="480">
        <f t="shared" si="21"/>
        <v>4793959</v>
      </c>
      <c r="J73" s="490">
        <v>123972</v>
      </c>
      <c r="K73" s="490"/>
      <c r="L73" s="490"/>
      <c r="M73" s="490">
        <v>4669986</v>
      </c>
      <c r="N73" s="490"/>
      <c r="O73" s="490"/>
      <c r="P73" s="490"/>
      <c r="Q73" s="490">
        <v>1</v>
      </c>
      <c r="R73" s="539">
        <v>1171737</v>
      </c>
      <c r="S73" s="483">
        <f t="shared" si="23"/>
        <v>5841724</v>
      </c>
      <c r="T73" s="536">
        <f t="shared" si="1"/>
        <v>2.5860045945324104</v>
      </c>
      <c r="U73" s="521">
        <f t="shared" si="3"/>
        <v>0</v>
      </c>
      <c r="V73" s="522"/>
      <c r="W73" s="522"/>
    </row>
    <row r="74" spans="1:23" ht="19.5" customHeight="1">
      <c r="A74" s="481" t="s">
        <v>447</v>
      </c>
      <c r="B74" s="493" t="s">
        <v>446</v>
      </c>
      <c r="C74" s="480">
        <f t="shared" si="15"/>
        <v>17685088</v>
      </c>
      <c r="D74" s="455">
        <v>16876880</v>
      </c>
      <c r="E74" s="490">
        <v>808208</v>
      </c>
      <c r="F74" s="490"/>
      <c r="G74" s="482"/>
      <c r="H74" s="480">
        <f t="shared" si="17"/>
        <v>17685088</v>
      </c>
      <c r="I74" s="480">
        <f t="shared" si="21"/>
        <v>4665345</v>
      </c>
      <c r="J74" s="490">
        <v>113202</v>
      </c>
      <c r="K74" s="490"/>
      <c r="L74" s="490"/>
      <c r="M74" s="490">
        <v>4368723</v>
      </c>
      <c r="N74" s="490"/>
      <c r="O74" s="490"/>
      <c r="P74" s="490"/>
      <c r="Q74" s="490">
        <v>183420</v>
      </c>
      <c r="R74" s="539">
        <v>13019743</v>
      </c>
      <c r="S74" s="483">
        <f t="shared" si="23"/>
        <v>17571886</v>
      </c>
      <c r="T74" s="536">
        <f t="shared" si="1"/>
        <v>2.4264443465595793</v>
      </c>
      <c r="U74" s="521">
        <f t="shared" si="3"/>
        <v>0</v>
      </c>
      <c r="V74" s="522"/>
      <c r="W74" s="522"/>
    </row>
    <row r="75" spans="1:20" s="379" customFormat="1" ht="29.25" customHeight="1">
      <c r="A75" s="982"/>
      <c r="B75" s="982"/>
      <c r="C75" s="982"/>
      <c r="D75" s="982"/>
      <c r="E75" s="982"/>
      <c r="F75" s="419"/>
      <c r="G75" s="390"/>
      <c r="H75" s="475"/>
      <c r="I75" s="390"/>
      <c r="J75" s="390"/>
      <c r="K75" s="472"/>
      <c r="L75" s="390"/>
      <c r="M75" s="473"/>
      <c r="N75" s="390"/>
      <c r="O75" s="994" t="str">
        <f>'Thong tin'!B8</f>
        <v>Trà Vinh, ngày 30 tháng 11 năm 2017</v>
      </c>
      <c r="P75" s="994"/>
      <c r="Q75" s="994"/>
      <c r="R75" s="994"/>
      <c r="S75" s="994"/>
      <c r="T75" s="994"/>
    </row>
    <row r="76" spans="1:20" s="412" customFormat="1" ht="19.5" customHeight="1">
      <c r="A76" s="402"/>
      <c r="B76" s="983" t="s">
        <v>4</v>
      </c>
      <c r="C76" s="983"/>
      <c r="D76" s="983"/>
      <c r="E76" s="983"/>
      <c r="F76" s="401"/>
      <c r="G76" s="401"/>
      <c r="H76" s="401"/>
      <c r="I76" s="401"/>
      <c r="J76" s="401"/>
      <c r="K76" s="401"/>
      <c r="L76" s="401"/>
      <c r="M76" s="401"/>
      <c r="N76" s="401"/>
      <c r="O76" s="980" t="str">
        <f>'Thong tin'!B7</f>
        <v>PHÓ CỤC TRƯỞNG</v>
      </c>
      <c r="P76" s="980"/>
      <c r="Q76" s="980"/>
      <c r="R76" s="980"/>
      <c r="S76" s="980"/>
      <c r="T76" s="980"/>
    </row>
    <row r="77" spans="1:20" ht="18.75">
      <c r="A77" s="387"/>
      <c r="B77" s="389"/>
      <c r="C77" s="435"/>
      <c r="D77" s="435"/>
      <c r="E77" s="437"/>
      <c r="F77" s="437"/>
      <c r="G77" s="437"/>
      <c r="H77" s="437"/>
      <c r="I77" s="437"/>
      <c r="J77" s="437"/>
      <c r="K77" s="437"/>
      <c r="L77" s="437"/>
      <c r="M77" s="437"/>
      <c r="N77" s="437"/>
      <c r="O77" s="437"/>
      <c r="P77" s="437"/>
      <c r="Q77" s="437"/>
      <c r="R77" s="437"/>
      <c r="S77" s="437"/>
      <c r="T77" s="439"/>
    </row>
    <row r="78" spans="1:20" ht="18.75">
      <c r="A78" s="387"/>
      <c r="B78" s="387"/>
      <c r="C78" s="440"/>
      <c r="D78" s="440"/>
      <c r="E78" s="440"/>
      <c r="F78" s="440"/>
      <c r="G78" s="440"/>
      <c r="H78" s="440"/>
      <c r="I78" s="440"/>
      <c r="J78" s="440"/>
      <c r="K78" s="440"/>
      <c r="L78" s="440"/>
      <c r="M78" s="440"/>
      <c r="N78" s="440"/>
      <c r="O78" s="440"/>
      <c r="P78" s="440"/>
      <c r="Q78" s="440"/>
      <c r="R78" s="440"/>
      <c r="S78" s="440"/>
      <c r="T78" s="440"/>
    </row>
    <row r="79" spans="1:20" ht="15.75">
      <c r="A79" s="386"/>
      <c r="B79" s="989"/>
      <c r="C79" s="989"/>
      <c r="D79" s="989"/>
      <c r="E79" s="410"/>
      <c r="F79" s="410"/>
      <c r="G79" s="410"/>
      <c r="H79" s="410"/>
      <c r="I79" s="410"/>
      <c r="J79" s="410"/>
      <c r="K79" s="410"/>
      <c r="L79" s="410"/>
      <c r="M79" s="410"/>
      <c r="N79" s="410"/>
      <c r="O79" s="410"/>
      <c r="P79" s="410"/>
      <c r="Q79" s="989"/>
      <c r="R79" s="989"/>
      <c r="S79" s="989"/>
      <c r="T79" s="386"/>
    </row>
    <row r="80" spans="1:20" ht="15.75" customHeight="1">
      <c r="A80" s="411"/>
      <c r="B80" s="386"/>
      <c r="C80" s="474"/>
      <c r="D80" s="474"/>
      <c r="E80" s="474"/>
      <c r="F80" s="474"/>
      <c r="G80" s="476"/>
      <c r="H80" s="474"/>
      <c r="I80" s="474"/>
      <c r="J80" s="474"/>
      <c r="K80" s="474"/>
      <c r="L80" s="474"/>
      <c r="M80" s="474"/>
      <c r="N80" s="474"/>
      <c r="O80" s="410"/>
      <c r="P80" s="410"/>
      <c r="Q80" s="410"/>
      <c r="R80" s="442"/>
      <c r="S80" s="386"/>
      <c r="T80" s="386"/>
    </row>
    <row r="81" spans="1:20" ht="15.75" customHeight="1">
      <c r="A81" s="386"/>
      <c r="B81" s="987"/>
      <c r="C81" s="987"/>
      <c r="D81" s="987"/>
      <c r="E81" s="987"/>
      <c r="F81" s="987"/>
      <c r="G81" s="987"/>
      <c r="H81" s="987"/>
      <c r="I81" s="987"/>
      <c r="J81" s="987"/>
      <c r="K81" s="987"/>
      <c r="L81" s="987"/>
      <c r="M81" s="987"/>
      <c r="N81" s="987"/>
      <c r="O81" s="987"/>
      <c r="P81" s="987"/>
      <c r="Q81" s="410"/>
      <c r="R81" s="410"/>
      <c r="S81" s="386"/>
      <c r="T81" s="386"/>
    </row>
    <row r="82" spans="1:20" ht="15.75">
      <c r="A82" s="409"/>
      <c r="B82" s="409"/>
      <c r="C82" s="409"/>
      <c r="D82" s="409"/>
      <c r="E82" s="409"/>
      <c r="F82" s="409"/>
      <c r="G82" s="409"/>
      <c r="H82" s="409"/>
      <c r="I82" s="409"/>
      <c r="J82" s="409"/>
      <c r="K82" s="409"/>
      <c r="L82" s="409"/>
      <c r="M82" s="409"/>
      <c r="N82" s="409"/>
      <c r="O82" s="409"/>
      <c r="P82" s="409"/>
      <c r="Q82" s="409"/>
      <c r="R82" s="386"/>
      <c r="S82" s="386"/>
      <c r="T82" s="386"/>
    </row>
    <row r="83" spans="1:20" ht="18.75">
      <c r="A83" s="386"/>
      <c r="B83" s="868" t="str">
        <f>'Thong tin'!B5</f>
        <v>Nhan Quốc Hải</v>
      </c>
      <c r="C83" s="868"/>
      <c r="D83" s="868"/>
      <c r="E83" s="868"/>
      <c r="F83" s="386"/>
      <c r="G83" s="386"/>
      <c r="H83" s="386"/>
      <c r="I83" s="386"/>
      <c r="J83" s="386"/>
      <c r="K83" s="386"/>
      <c r="L83" s="386"/>
      <c r="M83" s="386"/>
      <c r="N83" s="386"/>
      <c r="O83" s="868" t="str">
        <f>'Thong tin'!B6</f>
        <v>Trần Việt Hồng</v>
      </c>
      <c r="P83" s="868"/>
      <c r="Q83" s="868"/>
      <c r="R83" s="868"/>
      <c r="S83" s="868"/>
      <c r="T83" s="868"/>
    </row>
    <row r="84" spans="2:20" ht="18.75">
      <c r="B84" s="985"/>
      <c r="C84" s="985"/>
      <c r="D84" s="985"/>
      <c r="E84" s="985"/>
      <c r="P84" s="985"/>
      <c r="Q84" s="985"/>
      <c r="R84" s="985"/>
      <c r="S84" s="985"/>
      <c r="T84" s="986"/>
    </row>
  </sheetData>
  <sheetProtection/>
  <mergeCells count="37">
    <mergeCell ref="R7:R9"/>
    <mergeCell ref="I8:I9"/>
    <mergeCell ref="J8:Q8"/>
    <mergeCell ref="H7:H9"/>
    <mergeCell ref="A6:B9"/>
    <mergeCell ref="B79:D79"/>
    <mergeCell ref="C6:E6"/>
    <mergeCell ref="C7:C9"/>
    <mergeCell ref="A10:B10"/>
    <mergeCell ref="Q5:T5"/>
    <mergeCell ref="D7:E7"/>
    <mergeCell ref="D8:D9"/>
    <mergeCell ref="E8:E9"/>
    <mergeCell ref="E1:P1"/>
    <mergeCell ref="E2:P2"/>
    <mergeCell ref="E3:P3"/>
    <mergeCell ref="F6:F9"/>
    <mergeCell ref="G6:G9"/>
    <mergeCell ref="H6:R6"/>
    <mergeCell ref="A2:D2"/>
    <mergeCell ref="Q2:T2"/>
    <mergeCell ref="Q4:T4"/>
    <mergeCell ref="O76:T76"/>
    <mergeCell ref="T6:T9"/>
    <mergeCell ref="I7:Q7"/>
    <mergeCell ref="O75:T75"/>
    <mergeCell ref="S6:S9"/>
    <mergeCell ref="A3:D3"/>
    <mergeCell ref="A75:E75"/>
    <mergeCell ref="B84:E84"/>
    <mergeCell ref="P84:T84"/>
    <mergeCell ref="B83:E83"/>
    <mergeCell ref="B81:P81"/>
    <mergeCell ref="A11:B11"/>
    <mergeCell ref="O83:T83"/>
    <mergeCell ref="Q79:S79"/>
    <mergeCell ref="B76:E76"/>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14" t="s">
        <v>29</v>
      </c>
      <c r="B1" s="614"/>
      <c r="C1" s="614"/>
      <c r="D1" s="614"/>
      <c r="E1" s="613" t="s">
        <v>373</v>
      </c>
      <c r="F1" s="613"/>
      <c r="G1" s="613"/>
      <c r="H1" s="613"/>
      <c r="I1" s="613"/>
      <c r="J1" s="613"/>
      <c r="K1" s="613"/>
      <c r="L1" s="31" t="s">
        <v>349</v>
      </c>
      <c r="M1" s="31"/>
      <c r="N1" s="31"/>
      <c r="O1" s="32"/>
      <c r="P1" s="32"/>
    </row>
    <row r="2" spans="1:16" ht="15.75" customHeight="1">
      <c r="A2" s="615" t="s">
        <v>243</v>
      </c>
      <c r="B2" s="615"/>
      <c r="C2" s="615"/>
      <c r="D2" s="615"/>
      <c r="E2" s="613"/>
      <c r="F2" s="613"/>
      <c r="G2" s="613"/>
      <c r="H2" s="613"/>
      <c r="I2" s="613"/>
      <c r="J2" s="613"/>
      <c r="K2" s="613"/>
      <c r="L2" s="605" t="s">
        <v>252</v>
      </c>
      <c r="M2" s="605"/>
      <c r="N2" s="605"/>
      <c r="O2" s="35"/>
      <c r="P2" s="32"/>
    </row>
    <row r="3" spans="1:16" ht="18" customHeight="1">
      <c r="A3" s="615" t="s">
        <v>244</v>
      </c>
      <c r="B3" s="615"/>
      <c r="C3" s="615"/>
      <c r="D3" s="615"/>
      <c r="E3" s="616" t="s">
        <v>369</v>
      </c>
      <c r="F3" s="616"/>
      <c r="G3" s="616"/>
      <c r="H3" s="616"/>
      <c r="I3" s="616"/>
      <c r="J3" s="616"/>
      <c r="K3" s="36"/>
      <c r="L3" s="606" t="s">
        <v>368</v>
      </c>
      <c r="M3" s="606"/>
      <c r="N3" s="606"/>
      <c r="O3" s="32"/>
      <c r="P3" s="32"/>
    </row>
    <row r="4" spans="1:16" ht="21" customHeight="1">
      <c r="A4" s="612" t="s">
        <v>255</v>
      </c>
      <c r="B4" s="612"/>
      <c r="C4" s="612"/>
      <c r="D4" s="612"/>
      <c r="E4" s="39"/>
      <c r="F4" s="40"/>
      <c r="G4" s="41"/>
      <c r="H4" s="41"/>
      <c r="I4" s="41"/>
      <c r="J4" s="41"/>
      <c r="K4" s="32"/>
      <c r="L4" s="605" t="s">
        <v>250</v>
      </c>
      <c r="M4" s="605"/>
      <c r="N4" s="605"/>
      <c r="O4" s="35"/>
      <c r="P4" s="32"/>
    </row>
    <row r="5" spans="1:16" ht="18" customHeight="1">
      <c r="A5" s="41"/>
      <c r="B5" s="32"/>
      <c r="C5" s="42"/>
      <c r="D5" s="610"/>
      <c r="E5" s="610"/>
      <c r="F5" s="610"/>
      <c r="G5" s="610"/>
      <c r="H5" s="610"/>
      <c r="I5" s="610"/>
      <c r="J5" s="610"/>
      <c r="K5" s="610"/>
      <c r="L5" s="43" t="s">
        <v>256</v>
      </c>
      <c r="M5" s="43"/>
      <c r="N5" s="43"/>
      <c r="O5" s="32"/>
      <c r="P5" s="32"/>
    </row>
    <row r="6" spans="1:18" ht="33" customHeight="1">
      <c r="A6" s="597" t="s">
        <v>57</v>
      </c>
      <c r="B6" s="598"/>
      <c r="C6" s="611" t="s">
        <v>257</v>
      </c>
      <c r="D6" s="611"/>
      <c r="E6" s="611"/>
      <c r="F6" s="611"/>
      <c r="G6" s="607" t="s">
        <v>7</v>
      </c>
      <c r="H6" s="608"/>
      <c r="I6" s="608"/>
      <c r="J6" s="608"/>
      <c r="K6" s="608"/>
      <c r="L6" s="608"/>
      <c r="M6" s="608"/>
      <c r="N6" s="609"/>
      <c r="O6" s="623" t="s">
        <v>258</v>
      </c>
      <c r="P6" s="624"/>
      <c r="Q6" s="624"/>
      <c r="R6" s="625"/>
    </row>
    <row r="7" spans="1:18" ht="29.25" customHeight="1">
      <c r="A7" s="599"/>
      <c r="B7" s="600"/>
      <c r="C7" s="611"/>
      <c r="D7" s="611"/>
      <c r="E7" s="611"/>
      <c r="F7" s="611"/>
      <c r="G7" s="607" t="s">
        <v>259</v>
      </c>
      <c r="H7" s="608"/>
      <c r="I7" s="608"/>
      <c r="J7" s="609"/>
      <c r="K7" s="607" t="s">
        <v>92</v>
      </c>
      <c r="L7" s="608"/>
      <c r="M7" s="608"/>
      <c r="N7" s="609"/>
      <c r="O7" s="45" t="s">
        <v>260</v>
      </c>
      <c r="P7" s="45" t="s">
        <v>261</v>
      </c>
      <c r="Q7" s="626" t="s">
        <v>262</v>
      </c>
      <c r="R7" s="626" t="s">
        <v>263</v>
      </c>
    </row>
    <row r="8" spans="1:18" ht="26.25" customHeight="1">
      <c r="A8" s="599"/>
      <c r="B8" s="600"/>
      <c r="C8" s="594" t="s">
        <v>89</v>
      </c>
      <c r="D8" s="595"/>
      <c r="E8" s="594" t="s">
        <v>88</v>
      </c>
      <c r="F8" s="595"/>
      <c r="G8" s="594" t="s">
        <v>90</v>
      </c>
      <c r="H8" s="596"/>
      <c r="I8" s="594" t="s">
        <v>91</v>
      </c>
      <c r="J8" s="596"/>
      <c r="K8" s="594" t="s">
        <v>93</v>
      </c>
      <c r="L8" s="596"/>
      <c r="M8" s="594" t="s">
        <v>94</v>
      </c>
      <c r="N8" s="596"/>
      <c r="O8" s="628" t="s">
        <v>264</v>
      </c>
      <c r="P8" s="629" t="s">
        <v>265</v>
      </c>
      <c r="Q8" s="626"/>
      <c r="R8" s="626"/>
    </row>
    <row r="9" spans="1:18" ht="30.75" customHeight="1">
      <c r="A9" s="599"/>
      <c r="B9" s="600"/>
      <c r="C9" s="46" t="s">
        <v>3</v>
      </c>
      <c r="D9" s="44" t="s">
        <v>9</v>
      </c>
      <c r="E9" s="44" t="s">
        <v>3</v>
      </c>
      <c r="F9" s="44" t="s">
        <v>9</v>
      </c>
      <c r="G9" s="47" t="s">
        <v>3</v>
      </c>
      <c r="H9" s="47" t="s">
        <v>9</v>
      </c>
      <c r="I9" s="47" t="s">
        <v>3</v>
      </c>
      <c r="J9" s="47" t="s">
        <v>9</v>
      </c>
      <c r="K9" s="47" t="s">
        <v>3</v>
      </c>
      <c r="L9" s="47" t="s">
        <v>9</v>
      </c>
      <c r="M9" s="47" t="s">
        <v>3</v>
      </c>
      <c r="N9" s="47" t="s">
        <v>9</v>
      </c>
      <c r="O9" s="628"/>
      <c r="P9" s="630"/>
      <c r="Q9" s="627"/>
      <c r="R9" s="627"/>
    </row>
    <row r="10" spans="1:18" s="52" customFormat="1" ht="18" customHeight="1">
      <c r="A10" s="619" t="s">
        <v>6</v>
      </c>
      <c r="B10" s="619"/>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21" t="s">
        <v>266</v>
      </c>
      <c r="B11" s="622"/>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03" t="s">
        <v>370</v>
      </c>
      <c r="B12" s="604"/>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01" t="s">
        <v>31</v>
      </c>
      <c r="B13" s="602"/>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267</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268</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269</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270</v>
      </c>
    </row>
    <row r="18" spans="1:18" s="70" customFormat="1" ht="18" customHeight="1">
      <c r="A18" s="66" t="s">
        <v>49</v>
      </c>
      <c r="B18" s="67" t="s">
        <v>271</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272</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273</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274</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275</v>
      </c>
      <c r="AK21" s="52" t="s">
        <v>276</v>
      </c>
      <c r="AL21" s="52" t="s">
        <v>277</v>
      </c>
      <c r="AM21" s="63" t="s">
        <v>278</v>
      </c>
    </row>
    <row r="22" spans="1:39" s="52" customFormat="1" ht="18" customHeight="1">
      <c r="A22" s="66" t="s">
        <v>61</v>
      </c>
      <c r="B22" s="67" t="s">
        <v>279</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280</v>
      </c>
    </row>
    <row r="23" spans="1:18" s="52" customFormat="1" ht="18" customHeight="1">
      <c r="A23" s="66" t="s">
        <v>62</v>
      </c>
      <c r="B23" s="67" t="s">
        <v>281</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282</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275</v>
      </c>
    </row>
    <row r="25" spans="1:36" s="52" customFormat="1" ht="18" customHeight="1">
      <c r="A25" s="66" t="s">
        <v>83</v>
      </c>
      <c r="B25" s="67" t="s">
        <v>283</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284</v>
      </c>
    </row>
    <row r="26" spans="1:44" s="52" customFormat="1" ht="18" customHeight="1">
      <c r="A26" s="66" t="s">
        <v>84</v>
      </c>
      <c r="B26" s="67" t="s">
        <v>285</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20" t="s">
        <v>371</v>
      </c>
      <c r="C28" s="620"/>
      <c r="D28" s="620"/>
      <c r="E28" s="620"/>
      <c r="F28" s="75"/>
      <c r="G28" s="76"/>
      <c r="H28" s="76"/>
      <c r="I28" s="76"/>
      <c r="J28" s="620" t="s">
        <v>372</v>
      </c>
      <c r="K28" s="620"/>
      <c r="L28" s="620"/>
      <c r="M28" s="620"/>
      <c r="N28" s="620"/>
      <c r="O28" s="77"/>
      <c r="P28" s="77"/>
      <c r="AG28" s="78" t="s">
        <v>287</v>
      </c>
      <c r="AI28" s="79">
        <f>82/88</f>
        <v>0.9318181818181818</v>
      </c>
    </row>
    <row r="29" spans="1:16" s="85" customFormat="1" ht="19.5" customHeight="1">
      <c r="A29" s="80"/>
      <c r="B29" s="593" t="s">
        <v>35</v>
      </c>
      <c r="C29" s="593"/>
      <c r="D29" s="593"/>
      <c r="E29" s="593"/>
      <c r="F29" s="82"/>
      <c r="G29" s="83"/>
      <c r="H29" s="83"/>
      <c r="I29" s="83"/>
      <c r="J29" s="593" t="s">
        <v>288</v>
      </c>
      <c r="K29" s="593"/>
      <c r="L29" s="593"/>
      <c r="M29" s="593"/>
      <c r="N29" s="593"/>
      <c r="O29" s="84"/>
      <c r="P29" s="84"/>
    </row>
    <row r="30" spans="1:16" s="85" customFormat="1" ht="19.5" customHeight="1">
      <c r="A30" s="80"/>
      <c r="B30" s="617"/>
      <c r="C30" s="617"/>
      <c r="D30" s="617"/>
      <c r="E30" s="82"/>
      <c r="F30" s="82"/>
      <c r="G30" s="83"/>
      <c r="H30" s="83"/>
      <c r="I30" s="83"/>
      <c r="J30" s="618"/>
      <c r="K30" s="618"/>
      <c r="L30" s="618"/>
      <c r="M30" s="618"/>
      <c r="N30" s="618"/>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32" t="s">
        <v>289</v>
      </c>
      <c r="C32" s="632"/>
      <c r="D32" s="632"/>
      <c r="E32" s="632"/>
      <c r="F32" s="87"/>
      <c r="G32" s="88"/>
      <c r="H32" s="88"/>
      <c r="I32" s="88"/>
      <c r="J32" s="631" t="s">
        <v>289</v>
      </c>
      <c r="K32" s="631"/>
      <c r="L32" s="631"/>
      <c r="M32" s="631"/>
      <c r="N32" s="631"/>
      <c r="O32" s="84"/>
      <c r="P32" s="84"/>
    </row>
    <row r="33" spans="1:16" s="85" customFormat="1" ht="19.5" customHeight="1">
      <c r="A33" s="80"/>
      <c r="B33" s="593" t="s">
        <v>290</v>
      </c>
      <c r="C33" s="593"/>
      <c r="D33" s="593"/>
      <c r="E33" s="593"/>
      <c r="F33" s="82"/>
      <c r="G33" s="83"/>
      <c r="H33" s="83"/>
      <c r="I33" s="83"/>
      <c r="J33" s="81"/>
      <c r="K33" s="593" t="s">
        <v>290</v>
      </c>
      <c r="L33" s="593"/>
      <c r="M33" s="593"/>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91" t="s">
        <v>246</v>
      </c>
      <c r="C36" s="591"/>
      <c r="D36" s="591"/>
      <c r="E36" s="591"/>
      <c r="F36" s="91"/>
      <c r="G36" s="91"/>
      <c r="H36" s="91"/>
      <c r="I36" s="91"/>
      <c r="J36" s="592" t="s">
        <v>247</v>
      </c>
      <c r="K36" s="592"/>
      <c r="L36" s="592"/>
      <c r="M36" s="592"/>
      <c r="N36" s="592"/>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68" t="s">
        <v>26</v>
      </c>
      <c r="B1" s="668"/>
      <c r="C1" s="98"/>
      <c r="D1" s="671" t="s">
        <v>350</v>
      </c>
      <c r="E1" s="671"/>
      <c r="F1" s="671"/>
      <c r="G1" s="671"/>
      <c r="H1" s="671"/>
      <c r="I1" s="671"/>
      <c r="J1" s="671"/>
      <c r="K1" s="671"/>
      <c r="L1" s="671"/>
      <c r="M1" s="642" t="s">
        <v>291</v>
      </c>
      <c r="N1" s="643"/>
      <c r="O1" s="643"/>
      <c r="P1" s="643"/>
    </row>
    <row r="2" spans="1:16" s="42" customFormat="1" ht="34.5" customHeight="1">
      <c r="A2" s="670" t="s">
        <v>292</v>
      </c>
      <c r="B2" s="670"/>
      <c r="C2" s="670"/>
      <c r="D2" s="671"/>
      <c r="E2" s="671"/>
      <c r="F2" s="671"/>
      <c r="G2" s="671"/>
      <c r="H2" s="671"/>
      <c r="I2" s="671"/>
      <c r="J2" s="671"/>
      <c r="K2" s="671"/>
      <c r="L2" s="671"/>
      <c r="M2" s="644" t="s">
        <v>351</v>
      </c>
      <c r="N2" s="645"/>
      <c r="O2" s="645"/>
      <c r="P2" s="645"/>
    </row>
    <row r="3" spans="1:16" s="42" customFormat="1" ht="19.5" customHeight="1">
      <c r="A3" s="669" t="s">
        <v>293</v>
      </c>
      <c r="B3" s="669"/>
      <c r="C3" s="669"/>
      <c r="D3" s="671"/>
      <c r="E3" s="671"/>
      <c r="F3" s="671"/>
      <c r="G3" s="671"/>
      <c r="H3" s="671"/>
      <c r="I3" s="671"/>
      <c r="J3" s="671"/>
      <c r="K3" s="671"/>
      <c r="L3" s="671"/>
      <c r="M3" s="644" t="s">
        <v>294</v>
      </c>
      <c r="N3" s="645"/>
      <c r="O3" s="645"/>
      <c r="P3" s="645"/>
    </row>
    <row r="4" spans="1:16" s="103" customFormat="1" ht="18.75" customHeight="1">
      <c r="A4" s="99"/>
      <c r="B4" s="99"/>
      <c r="C4" s="100"/>
      <c r="D4" s="610"/>
      <c r="E4" s="610"/>
      <c r="F4" s="610"/>
      <c r="G4" s="610"/>
      <c r="H4" s="610"/>
      <c r="I4" s="610"/>
      <c r="J4" s="610"/>
      <c r="K4" s="610"/>
      <c r="L4" s="610"/>
      <c r="M4" s="101" t="s">
        <v>295</v>
      </c>
      <c r="N4" s="102"/>
      <c r="O4" s="102"/>
      <c r="P4" s="102"/>
    </row>
    <row r="5" spans="1:16" ht="49.5" customHeight="1">
      <c r="A5" s="659" t="s">
        <v>57</v>
      </c>
      <c r="B5" s="660"/>
      <c r="C5" s="665" t="s">
        <v>82</v>
      </c>
      <c r="D5" s="648"/>
      <c r="E5" s="648"/>
      <c r="F5" s="648"/>
      <c r="G5" s="648"/>
      <c r="H5" s="648"/>
      <c r="I5" s="648"/>
      <c r="J5" s="648"/>
      <c r="K5" s="646" t="s">
        <v>81</v>
      </c>
      <c r="L5" s="646"/>
      <c r="M5" s="646"/>
      <c r="N5" s="646"/>
      <c r="O5" s="646"/>
      <c r="P5" s="646"/>
    </row>
    <row r="6" spans="1:16" ht="20.25" customHeight="1">
      <c r="A6" s="661"/>
      <c r="B6" s="662"/>
      <c r="C6" s="665" t="s">
        <v>3</v>
      </c>
      <c r="D6" s="648"/>
      <c r="E6" s="648"/>
      <c r="F6" s="649"/>
      <c r="G6" s="646" t="s">
        <v>9</v>
      </c>
      <c r="H6" s="646"/>
      <c r="I6" s="646"/>
      <c r="J6" s="646"/>
      <c r="K6" s="647" t="s">
        <v>3</v>
      </c>
      <c r="L6" s="647"/>
      <c r="M6" s="647"/>
      <c r="N6" s="650" t="s">
        <v>9</v>
      </c>
      <c r="O6" s="650"/>
      <c r="P6" s="650"/>
    </row>
    <row r="7" spans="1:16" ht="52.5" customHeight="1">
      <c r="A7" s="661"/>
      <c r="B7" s="662"/>
      <c r="C7" s="666" t="s">
        <v>296</v>
      </c>
      <c r="D7" s="648" t="s">
        <v>78</v>
      </c>
      <c r="E7" s="648"/>
      <c r="F7" s="649"/>
      <c r="G7" s="646" t="s">
        <v>297</v>
      </c>
      <c r="H7" s="646" t="s">
        <v>78</v>
      </c>
      <c r="I7" s="646"/>
      <c r="J7" s="646"/>
      <c r="K7" s="646" t="s">
        <v>32</v>
      </c>
      <c r="L7" s="646" t="s">
        <v>79</v>
      </c>
      <c r="M7" s="646"/>
      <c r="N7" s="646" t="s">
        <v>64</v>
      </c>
      <c r="O7" s="646" t="s">
        <v>79</v>
      </c>
      <c r="P7" s="646"/>
    </row>
    <row r="8" spans="1:16" ht="15.75" customHeight="1">
      <c r="A8" s="661"/>
      <c r="B8" s="662"/>
      <c r="C8" s="666"/>
      <c r="D8" s="646" t="s">
        <v>36</v>
      </c>
      <c r="E8" s="646" t="s">
        <v>37</v>
      </c>
      <c r="F8" s="646" t="s">
        <v>40</v>
      </c>
      <c r="G8" s="646"/>
      <c r="H8" s="646" t="s">
        <v>36</v>
      </c>
      <c r="I8" s="646" t="s">
        <v>37</v>
      </c>
      <c r="J8" s="646" t="s">
        <v>40</v>
      </c>
      <c r="K8" s="646"/>
      <c r="L8" s="646" t="s">
        <v>14</v>
      </c>
      <c r="M8" s="646" t="s">
        <v>13</v>
      </c>
      <c r="N8" s="646"/>
      <c r="O8" s="646" t="s">
        <v>14</v>
      </c>
      <c r="P8" s="646" t="s">
        <v>13</v>
      </c>
    </row>
    <row r="9" spans="1:16" ht="44.25" customHeight="1">
      <c r="A9" s="663"/>
      <c r="B9" s="664"/>
      <c r="C9" s="667"/>
      <c r="D9" s="646"/>
      <c r="E9" s="646"/>
      <c r="F9" s="646"/>
      <c r="G9" s="646"/>
      <c r="H9" s="646"/>
      <c r="I9" s="646"/>
      <c r="J9" s="646"/>
      <c r="K9" s="646"/>
      <c r="L9" s="646"/>
      <c r="M9" s="646"/>
      <c r="N9" s="646"/>
      <c r="O9" s="646"/>
      <c r="P9" s="646"/>
    </row>
    <row r="10" spans="1:16" ht="15" customHeight="1">
      <c r="A10" s="657" t="s">
        <v>6</v>
      </c>
      <c r="B10" s="658"/>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51" t="s">
        <v>298</v>
      </c>
      <c r="B11" s="652"/>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53" t="s">
        <v>299</v>
      </c>
      <c r="B12" s="654"/>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55" t="s">
        <v>33</v>
      </c>
      <c r="B13" s="656"/>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267</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268</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300</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270</v>
      </c>
    </row>
    <row r="18" spans="1:16" s="42" customFormat="1" ht="15" customHeight="1">
      <c r="A18" s="116" t="s">
        <v>49</v>
      </c>
      <c r="B18" s="117" t="s">
        <v>271</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272</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273</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274</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275</v>
      </c>
      <c r="AK21" s="42" t="s">
        <v>276</v>
      </c>
      <c r="AL21" s="42" t="s">
        <v>277</v>
      </c>
      <c r="AM21" s="113" t="s">
        <v>278</v>
      </c>
    </row>
    <row r="22" spans="1:39" s="42" customFormat="1" ht="15" customHeight="1">
      <c r="A22" s="116" t="s">
        <v>61</v>
      </c>
      <c r="B22" s="117" t="s">
        <v>279</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280</v>
      </c>
    </row>
    <row r="23" spans="1:16" s="42" customFormat="1" ht="15" customHeight="1">
      <c r="A23" s="116" t="s">
        <v>62</v>
      </c>
      <c r="B23" s="117" t="s">
        <v>281</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282</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275</v>
      </c>
    </row>
    <row r="25" spans="1:36" s="42" customFormat="1" ht="15" customHeight="1">
      <c r="A25" s="116" t="s">
        <v>83</v>
      </c>
      <c r="B25" s="117" t="s">
        <v>283</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284</v>
      </c>
    </row>
    <row r="26" spans="1:44" s="42" customFormat="1" ht="15" customHeight="1">
      <c r="A26" s="116" t="s">
        <v>84</v>
      </c>
      <c r="B26" s="117" t="s">
        <v>285</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38" t="s">
        <v>352</v>
      </c>
      <c r="C28" s="639"/>
      <c r="D28" s="639"/>
      <c r="E28" s="639"/>
      <c r="F28" s="123"/>
      <c r="G28" s="123"/>
      <c r="H28" s="123"/>
      <c r="I28" s="123"/>
      <c r="J28" s="123"/>
      <c r="K28" s="633" t="s">
        <v>353</v>
      </c>
      <c r="L28" s="633"/>
      <c r="M28" s="633"/>
      <c r="N28" s="633"/>
      <c r="O28" s="633"/>
      <c r="P28" s="633"/>
      <c r="AG28" s="73" t="s">
        <v>287</v>
      </c>
      <c r="AI28" s="113">
        <f>82/88</f>
        <v>0.9318181818181818</v>
      </c>
    </row>
    <row r="29" spans="2:16" ht="16.5">
      <c r="B29" s="639"/>
      <c r="C29" s="639"/>
      <c r="D29" s="639"/>
      <c r="E29" s="639"/>
      <c r="F29" s="123"/>
      <c r="G29" s="123"/>
      <c r="H29" s="123"/>
      <c r="I29" s="123"/>
      <c r="J29" s="123"/>
      <c r="K29" s="633"/>
      <c r="L29" s="633"/>
      <c r="M29" s="633"/>
      <c r="N29" s="633"/>
      <c r="O29" s="633"/>
      <c r="P29" s="633"/>
    </row>
    <row r="30" spans="2:16" ht="21" customHeight="1">
      <c r="B30" s="639"/>
      <c r="C30" s="639"/>
      <c r="D30" s="639"/>
      <c r="E30" s="639"/>
      <c r="F30" s="123"/>
      <c r="G30" s="123"/>
      <c r="H30" s="123"/>
      <c r="I30" s="123"/>
      <c r="J30" s="123"/>
      <c r="K30" s="633"/>
      <c r="L30" s="633"/>
      <c r="M30" s="633"/>
      <c r="N30" s="633"/>
      <c r="O30" s="633"/>
      <c r="P30" s="633"/>
    </row>
    <row r="32" spans="2:16" ht="16.5" customHeight="1">
      <c r="B32" s="641" t="s">
        <v>290</v>
      </c>
      <c r="C32" s="641"/>
      <c r="D32" s="641"/>
      <c r="E32" s="124"/>
      <c r="F32" s="124"/>
      <c r="G32" s="124"/>
      <c r="H32" s="124"/>
      <c r="I32" s="124"/>
      <c r="J32" s="124"/>
      <c r="K32" s="640" t="s">
        <v>354</v>
      </c>
      <c r="L32" s="640"/>
      <c r="M32" s="640"/>
      <c r="N32" s="640"/>
      <c r="O32" s="640"/>
      <c r="P32" s="640"/>
    </row>
    <row r="33" ht="12.75" customHeight="1"/>
    <row r="34" spans="2:5" ht="15.75">
      <c r="B34" s="125"/>
      <c r="C34" s="125"/>
      <c r="D34" s="125"/>
      <c r="E34" s="125"/>
    </row>
    <row r="35" ht="15.75" hidden="1"/>
    <row r="36" spans="2:16" ht="15.75">
      <c r="B36" s="636" t="s">
        <v>246</v>
      </c>
      <c r="C36" s="636"/>
      <c r="D36" s="636"/>
      <c r="E36" s="636"/>
      <c r="F36" s="126"/>
      <c r="G36" s="126"/>
      <c r="H36" s="126"/>
      <c r="I36" s="126"/>
      <c r="K36" s="637" t="s">
        <v>247</v>
      </c>
      <c r="L36" s="637"/>
      <c r="M36" s="637"/>
      <c r="N36" s="637"/>
      <c r="O36" s="637"/>
      <c r="P36" s="637"/>
    </row>
    <row r="39" ht="15.75">
      <c r="A39" s="128" t="s">
        <v>41</v>
      </c>
    </row>
    <row r="40" spans="1:6" ht="15.75">
      <c r="A40" s="129"/>
      <c r="B40" s="130" t="s">
        <v>50</v>
      </c>
      <c r="C40" s="130"/>
      <c r="D40" s="130"/>
      <c r="E40" s="130"/>
      <c r="F40" s="130"/>
    </row>
    <row r="41" spans="1:14" ht="15.75" customHeight="1">
      <c r="A41" s="131" t="s">
        <v>25</v>
      </c>
      <c r="B41" s="635" t="s">
        <v>53</v>
      </c>
      <c r="C41" s="635"/>
      <c r="D41" s="635"/>
      <c r="E41" s="635"/>
      <c r="F41" s="635"/>
      <c r="G41" s="131"/>
      <c r="H41" s="131"/>
      <c r="I41" s="131"/>
      <c r="J41" s="131"/>
      <c r="K41" s="131"/>
      <c r="L41" s="131"/>
      <c r="M41" s="131"/>
      <c r="N41" s="131"/>
    </row>
    <row r="42" spans="1:14" ht="15" customHeight="1">
      <c r="A42" s="131"/>
      <c r="B42" s="634" t="s">
        <v>54</v>
      </c>
      <c r="C42" s="634"/>
      <c r="D42" s="634"/>
      <c r="E42" s="634"/>
      <c r="F42" s="634"/>
      <c r="G42" s="634"/>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14" t="s">
        <v>99</v>
      </c>
      <c r="B1" s="614"/>
      <c r="C1" s="614"/>
      <c r="D1" s="691" t="s">
        <v>355</v>
      </c>
      <c r="E1" s="691"/>
      <c r="F1" s="691"/>
      <c r="G1" s="691"/>
      <c r="H1" s="691"/>
      <c r="I1" s="691"/>
      <c r="J1" s="688" t="s">
        <v>356</v>
      </c>
      <c r="K1" s="689"/>
      <c r="L1" s="689"/>
    </row>
    <row r="2" spans="1:13" ht="15.75" customHeight="1">
      <c r="A2" s="690" t="s">
        <v>301</v>
      </c>
      <c r="B2" s="690"/>
      <c r="C2" s="690"/>
      <c r="D2" s="691"/>
      <c r="E2" s="691"/>
      <c r="F2" s="691"/>
      <c r="G2" s="691"/>
      <c r="H2" s="691"/>
      <c r="I2" s="691"/>
      <c r="J2" s="689" t="s">
        <v>302</v>
      </c>
      <c r="K2" s="689"/>
      <c r="L2" s="689"/>
      <c r="M2" s="133"/>
    </row>
    <row r="3" spans="1:13" ht="15.75" customHeight="1">
      <c r="A3" s="615" t="s">
        <v>253</v>
      </c>
      <c r="B3" s="615"/>
      <c r="C3" s="615"/>
      <c r="D3" s="691"/>
      <c r="E3" s="691"/>
      <c r="F3" s="691"/>
      <c r="G3" s="691"/>
      <c r="H3" s="691"/>
      <c r="I3" s="691"/>
      <c r="J3" s="688" t="s">
        <v>357</v>
      </c>
      <c r="K3" s="688"/>
      <c r="L3" s="688"/>
      <c r="M3" s="37"/>
    </row>
    <row r="4" spans="1:13" ht="15.75" customHeight="1">
      <c r="A4" s="699" t="s">
        <v>255</v>
      </c>
      <c r="B4" s="699"/>
      <c r="C4" s="699"/>
      <c r="D4" s="693"/>
      <c r="E4" s="693"/>
      <c r="F4" s="693"/>
      <c r="G4" s="693"/>
      <c r="H4" s="693"/>
      <c r="I4" s="693"/>
      <c r="J4" s="689" t="s">
        <v>303</v>
      </c>
      <c r="K4" s="689"/>
      <c r="L4" s="689"/>
      <c r="M4" s="133"/>
    </row>
    <row r="5" spans="1:13" ht="15.75">
      <c r="A5" s="134"/>
      <c r="B5" s="134"/>
      <c r="C5" s="34"/>
      <c r="D5" s="34"/>
      <c r="E5" s="34"/>
      <c r="F5" s="34"/>
      <c r="G5" s="34"/>
      <c r="H5" s="34"/>
      <c r="I5" s="34"/>
      <c r="J5" s="692" t="s">
        <v>8</v>
      </c>
      <c r="K5" s="692"/>
      <c r="L5" s="692"/>
      <c r="M5" s="133"/>
    </row>
    <row r="6" spans="1:14" ht="15.75">
      <c r="A6" s="674" t="s">
        <v>57</v>
      </c>
      <c r="B6" s="675"/>
      <c r="C6" s="646" t="s">
        <v>304</v>
      </c>
      <c r="D6" s="698" t="s">
        <v>305</v>
      </c>
      <c r="E6" s="698"/>
      <c r="F6" s="698"/>
      <c r="G6" s="698"/>
      <c r="H6" s="698"/>
      <c r="I6" s="698"/>
      <c r="J6" s="611" t="s">
        <v>97</v>
      </c>
      <c r="K6" s="611"/>
      <c r="L6" s="611"/>
      <c r="M6" s="700" t="s">
        <v>306</v>
      </c>
      <c r="N6" s="701" t="s">
        <v>307</v>
      </c>
    </row>
    <row r="7" spans="1:14" ht="15.75" customHeight="1">
      <c r="A7" s="676"/>
      <c r="B7" s="677"/>
      <c r="C7" s="646"/>
      <c r="D7" s="698" t="s">
        <v>7</v>
      </c>
      <c r="E7" s="698"/>
      <c r="F7" s="698"/>
      <c r="G7" s="698"/>
      <c r="H7" s="698"/>
      <c r="I7" s="698"/>
      <c r="J7" s="611"/>
      <c r="K7" s="611"/>
      <c r="L7" s="611"/>
      <c r="M7" s="700"/>
      <c r="N7" s="701"/>
    </row>
    <row r="8" spans="1:14" s="73" customFormat="1" ht="31.5" customHeight="1">
      <c r="A8" s="676"/>
      <c r="B8" s="677"/>
      <c r="C8" s="646"/>
      <c r="D8" s="611" t="s">
        <v>95</v>
      </c>
      <c r="E8" s="611" t="s">
        <v>96</v>
      </c>
      <c r="F8" s="611"/>
      <c r="G8" s="611"/>
      <c r="H8" s="611"/>
      <c r="I8" s="611"/>
      <c r="J8" s="611"/>
      <c r="K8" s="611"/>
      <c r="L8" s="611"/>
      <c r="M8" s="700"/>
      <c r="N8" s="701"/>
    </row>
    <row r="9" spans="1:14" s="73" customFormat="1" ht="15.75" customHeight="1">
      <c r="A9" s="676"/>
      <c r="B9" s="677"/>
      <c r="C9" s="646"/>
      <c r="D9" s="611"/>
      <c r="E9" s="611" t="s">
        <v>98</v>
      </c>
      <c r="F9" s="611" t="s">
        <v>7</v>
      </c>
      <c r="G9" s="611"/>
      <c r="H9" s="611"/>
      <c r="I9" s="611"/>
      <c r="J9" s="611" t="s">
        <v>7</v>
      </c>
      <c r="K9" s="611"/>
      <c r="L9" s="611"/>
      <c r="M9" s="700"/>
      <c r="N9" s="701"/>
    </row>
    <row r="10" spans="1:14" s="73" customFormat="1" ht="86.25" customHeight="1">
      <c r="A10" s="678"/>
      <c r="B10" s="679"/>
      <c r="C10" s="646"/>
      <c r="D10" s="611"/>
      <c r="E10" s="611"/>
      <c r="F10" s="104" t="s">
        <v>22</v>
      </c>
      <c r="G10" s="104" t="s">
        <v>24</v>
      </c>
      <c r="H10" s="104" t="s">
        <v>16</v>
      </c>
      <c r="I10" s="104" t="s">
        <v>23</v>
      </c>
      <c r="J10" s="104" t="s">
        <v>15</v>
      </c>
      <c r="K10" s="104" t="s">
        <v>20</v>
      </c>
      <c r="L10" s="104" t="s">
        <v>21</v>
      </c>
      <c r="M10" s="700"/>
      <c r="N10" s="701"/>
    </row>
    <row r="11" spans="1:32" ht="13.5" customHeight="1">
      <c r="A11" s="684" t="s">
        <v>5</v>
      </c>
      <c r="B11" s="685"/>
      <c r="C11" s="135">
        <v>1</v>
      </c>
      <c r="D11" s="135" t="s">
        <v>44</v>
      </c>
      <c r="E11" s="135" t="s">
        <v>49</v>
      </c>
      <c r="F11" s="135" t="s">
        <v>58</v>
      </c>
      <c r="G11" s="135" t="s">
        <v>59</v>
      </c>
      <c r="H11" s="135" t="s">
        <v>60</v>
      </c>
      <c r="I11" s="135" t="s">
        <v>61</v>
      </c>
      <c r="J11" s="135" t="s">
        <v>62</v>
      </c>
      <c r="K11" s="135" t="s">
        <v>63</v>
      </c>
      <c r="L11" s="135" t="s">
        <v>83</v>
      </c>
      <c r="M11" s="136"/>
      <c r="N11" s="137"/>
      <c r="AF11" s="33" t="s">
        <v>267</v>
      </c>
    </row>
    <row r="12" spans="1:14" ht="24" customHeight="1">
      <c r="A12" s="696" t="s">
        <v>298</v>
      </c>
      <c r="B12" s="697"/>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94" t="s">
        <v>254</v>
      </c>
      <c r="B13" s="695"/>
      <c r="C13" s="139">
        <v>59</v>
      </c>
      <c r="D13" s="139">
        <v>43</v>
      </c>
      <c r="E13" s="139">
        <v>0</v>
      </c>
      <c r="F13" s="139">
        <v>5</v>
      </c>
      <c r="G13" s="139">
        <v>2</v>
      </c>
      <c r="H13" s="139">
        <v>7</v>
      </c>
      <c r="I13" s="139">
        <v>2</v>
      </c>
      <c r="J13" s="139">
        <v>10</v>
      </c>
      <c r="K13" s="139">
        <v>44</v>
      </c>
      <c r="L13" s="139">
        <v>5</v>
      </c>
      <c r="M13" s="136"/>
      <c r="N13" s="137"/>
    </row>
    <row r="14" spans="1:37" s="52" customFormat="1" ht="16.5" customHeight="1">
      <c r="A14" s="682" t="s">
        <v>30</v>
      </c>
      <c r="B14" s="683"/>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268</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270</v>
      </c>
    </row>
    <row r="18" spans="1:14" s="148" customFormat="1" ht="16.5" customHeight="1">
      <c r="A18" s="147" t="s">
        <v>44</v>
      </c>
      <c r="B18" s="68" t="s">
        <v>300</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271</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272</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273</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275</v>
      </c>
      <c r="AK21" s="148" t="s">
        <v>276</v>
      </c>
      <c r="AL21" s="148" t="s">
        <v>277</v>
      </c>
      <c r="AM21" s="63" t="s">
        <v>278</v>
      </c>
    </row>
    <row r="22" spans="1:39" s="148" customFormat="1" ht="16.5" customHeight="1">
      <c r="A22" s="147" t="s">
        <v>60</v>
      </c>
      <c r="B22" s="68" t="s">
        <v>274</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280</v>
      </c>
    </row>
    <row r="23" spans="1:14" s="148" customFormat="1" ht="16.5" customHeight="1">
      <c r="A23" s="147" t="s">
        <v>61</v>
      </c>
      <c r="B23" s="68" t="s">
        <v>279</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281</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275</v>
      </c>
    </row>
    <row r="25" spans="1:36" s="148" customFormat="1" ht="16.5" customHeight="1">
      <c r="A25" s="147" t="s">
        <v>63</v>
      </c>
      <c r="B25" s="68" t="s">
        <v>282</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284</v>
      </c>
    </row>
    <row r="26" spans="1:44" s="70" customFormat="1" ht="16.5" customHeight="1">
      <c r="A26" s="151" t="s">
        <v>83</v>
      </c>
      <c r="B26" s="68" t="s">
        <v>283</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285</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287</v>
      </c>
      <c r="AI28" s="157">
        <f>82/88</f>
        <v>0.9318181818181818</v>
      </c>
    </row>
    <row r="29" spans="1:13" ht="16.5" customHeight="1">
      <c r="A29" s="620" t="s">
        <v>358</v>
      </c>
      <c r="B29" s="686"/>
      <c r="C29" s="686"/>
      <c r="D29" s="686"/>
      <c r="E29" s="158"/>
      <c r="F29" s="158"/>
      <c r="G29" s="158"/>
      <c r="H29" s="672" t="s">
        <v>308</v>
      </c>
      <c r="I29" s="672"/>
      <c r="J29" s="672"/>
      <c r="K29" s="672"/>
      <c r="L29" s="672"/>
      <c r="M29" s="159"/>
    </row>
    <row r="30" spans="1:12" ht="18.75">
      <c r="A30" s="686"/>
      <c r="B30" s="686"/>
      <c r="C30" s="686"/>
      <c r="D30" s="686"/>
      <c r="E30" s="158"/>
      <c r="F30" s="158"/>
      <c r="G30" s="158"/>
      <c r="H30" s="673" t="s">
        <v>309</v>
      </c>
      <c r="I30" s="673"/>
      <c r="J30" s="673"/>
      <c r="K30" s="673"/>
      <c r="L30" s="673"/>
    </row>
    <row r="31" spans="1:12" s="32" customFormat="1" ht="16.5" customHeight="1">
      <c r="A31" s="617"/>
      <c r="B31" s="617"/>
      <c r="C31" s="617"/>
      <c r="D31" s="617"/>
      <c r="E31" s="160"/>
      <c r="F31" s="160"/>
      <c r="G31" s="160"/>
      <c r="H31" s="618"/>
      <c r="I31" s="618"/>
      <c r="J31" s="618"/>
      <c r="K31" s="618"/>
      <c r="L31" s="618"/>
    </row>
    <row r="32" spans="1:12" ht="18.75">
      <c r="A32" s="89"/>
      <c r="B32" s="617" t="s">
        <v>290</v>
      </c>
      <c r="C32" s="617"/>
      <c r="D32" s="617"/>
      <c r="E32" s="160"/>
      <c r="F32" s="160"/>
      <c r="G32" s="160"/>
      <c r="H32" s="160"/>
      <c r="I32" s="687" t="s">
        <v>290</v>
      </c>
      <c r="J32" s="687"/>
      <c r="K32" s="687"/>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91" t="s">
        <v>246</v>
      </c>
      <c r="B37" s="591"/>
      <c r="C37" s="591"/>
      <c r="D37" s="591"/>
      <c r="E37" s="91"/>
      <c r="F37" s="91"/>
      <c r="G37" s="91"/>
      <c r="H37" s="592" t="s">
        <v>246</v>
      </c>
      <c r="I37" s="592"/>
      <c r="J37" s="592"/>
      <c r="K37" s="592"/>
      <c r="L37" s="592"/>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81" t="s">
        <v>50</v>
      </c>
      <c r="C40" s="681"/>
      <c r="D40" s="681"/>
      <c r="E40" s="681"/>
      <c r="F40" s="681"/>
      <c r="G40" s="681"/>
      <c r="H40" s="681"/>
      <c r="I40" s="681"/>
      <c r="J40" s="681"/>
      <c r="K40" s="681"/>
      <c r="L40" s="681"/>
    </row>
    <row r="41" spans="1:12" ht="16.5" customHeight="1">
      <c r="A41" s="165"/>
      <c r="B41" s="680" t="s">
        <v>52</v>
      </c>
      <c r="C41" s="680"/>
      <c r="D41" s="680"/>
      <c r="E41" s="680"/>
      <c r="F41" s="680"/>
      <c r="G41" s="680"/>
      <c r="H41" s="680"/>
      <c r="I41" s="680"/>
      <c r="J41" s="680"/>
      <c r="K41" s="680"/>
      <c r="L41" s="680"/>
    </row>
    <row r="42" ht="15.75">
      <c r="B42" s="38" t="s">
        <v>51</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36" t="s">
        <v>135</v>
      </c>
      <c r="B1" s="736"/>
      <c r="C1" s="736"/>
      <c r="D1" s="732" t="s">
        <v>312</v>
      </c>
      <c r="E1" s="733"/>
      <c r="F1" s="733"/>
      <c r="G1" s="733"/>
      <c r="H1" s="733"/>
      <c r="I1" s="733"/>
      <c r="J1" s="733"/>
      <c r="K1" s="733"/>
      <c r="L1" s="733"/>
      <c r="M1" s="733"/>
      <c r="N1" s="733"/>
      <c r="O1" s="212"/>
      <c r="P1" s="169" t="s">
        <v>362</v>
      </c>
      <c r="Q1" s="168"/>
      <c r="R1" s="168"/>
      <c r="S1" s="168"/>
      <c r="T1" s="168"/>
      <c r="U1" s="212"/>
    </row>
    <row r="2" spans="1:21" ht="16.5" customHeight="1">
      <c r="A2" s="734" t="s">
        <v>313</v>
      </c>
      <c r="B2" s="734"/>
      <c r="C2" s="734"/>
      <c r="D2" s="733"/>
      <c r="E2" s="733"/>
      <c r="F2" s="733"/>
      <c r="G2" s="733"/>
      <c r="H2" s="733"/>
      <c r="I2" s="733"/>
      <c r="J2" s="733"/>
      <c r="K2" s="733"/>
      <c r="L2" s="733"/>
      <c r="M2" s="733"/>
      <c r="N2" s="733"/>
      <c r="O2" s="213"/>
      <c r="P2" s="725" t="s">
        <v>314</v>
      </c>
      <c r="Q2" s="725"/>
      <c r="R2" s="725"/>
      <c r="S2" s="725"/>
      <c r="T2" s="725"/>
      <c r="U2" s="213"/>
    </row>
    <row r="3" spans="1:21" ht="16.5" customHeight="1">
      <c r="A3" s="705" t="s">
        <v>315</v>
      </c>
      <c r="B3" s="705"/>
      <c r="C3" s="705"/>
      <c r="D3" s="737" t="s">
        <v>316</v>
      </c>
      <c r="E3" s="737"/>
      <c r="F3" s="737"/>
      <c r="G3" s="737"/>
      <c r="H3" s="737"/>
      <c r="I3" s="737"/>
      <c r="J3" s="737"/>
      <c r="K3" s="737"/>
      <c r="L3" s="737"/>
      <c r="M3" s="737"/>
      <c r="N3" s="737"/>
      <c r="O3" s="213"/>
      <c r="P3" s="173" t="s">
        <v>361</v>
      </c>
      <c r="Q3" s="213"/>
      <c r="R3" s="213"/>
      <c r="S3" s="213"/>
      <c r="T3" s="213"/>
      <c r="U3" s="213"/>
    </row>
    <row r="4" spans="1:21" ht="16.5" customHeight="1">
      <c r="A4" s="738" t="s">
        <v>255</v>
      </c>
      <c r="B4" s="738"/>
      <c r="C4" s="738"/>
      <c r="D4" s="714"/>
      <c r="E4" s="714"/>
      <c r="F4" s="714"/>
      <c r="G4" s="714"/>
      <c r="H4" s="714"/>
      <c r="I4" s="714"/>
      <c r="J4" s="714"/>
      <c r="K4" s="714"/>
      <c r="L4" s="714"/>
      <c r="M4" s="714"/>
      <c r="N4" s="714"/>
      <c r="O4" s="213"/>
      <c r="P4" s="172" t="s">
        <v>294</v>
      </c>
      <c r="Q4" s="213"/>
      <c r="R4" s="213"/>
      <c r="S4" s="213"/>
      <c r="T4" s="213"/>
      <c r="U4" s="213"/>
    </row>
    <row r="5" spans="12:21" ht="16.5" customHeight="1">
      <c r="L5" s="214"/>
      <c r="M5" s="214"/>
      <c r="N5" s="214"/>
      <c r="O5" s="176"/>
      <c r="P5" s="175" t="s">
        <v>317</v>
      </c>
      <c r="Q5" s="176"/>
      <c r="R5" s="176"/>
      <c r="S5" s="176"/>
      <c r="T5" s="176"/>
      <c r="U5" s="172"/>
    </row>
    <row r="6" spans="1:21" s="217" customFormat="1" ht="15.75" customHeight="1">
      <c r="A6" s="726" t="s">
        <v>57</v>
      </c>
      <c r="B6" s="727"/>
      <c r="C6" s="710" t="s">
        <v>136</v>
      </c>
      <c r="D6" s="735" t="s">
        <v>137</v>
      </c>
      <c r="E6" s="709"/>
      <c r="F6" s="709"/>
      <c r="G6" s="709"/>
      <c r="H6" s="709"/>
      <c r="I6" s="709"/>
      <c r="J6" s="709"/>
      <c r="K6" s="709"/>
      <c r="L6" s="709"/>
      <c r="M6" s="709"/>
      <c r="N6" s="709"/>
      <c r="O6" s="709"/>
      <c r="P6" s="709"/>
      <c r="Q6" s="709"/>
      <c r="R6" s="709"/>
      <c r="S6" s="709"/>
      <c r="T6" s="710" t="s">
        <v>138</v>
      </c>
      <c r="U6" s="216"/>
    </row>
    <row r="7" spans="1:20" s="218" customFormat="1" ht="12.75" customHeight="1">
      <c r="A7" s="728"/>
      <c r="B7" s="729"/>
      <c r="C7" s="710"/>
      <c r="D7" s="711" t="s">
        <v>133</v>
      </c>
      <c r="E7" s="709" t="s">
        <v>7</v>
      </c>
      <c r="F7" s="709"/>
      <c r="G7" s="709"/>
      <c r="H7" s="709"/>
      <c r="I7" s="709"/>
      <c r="J7" s="709"/>
      <c r="K7" s="709"/>
      <c r="L7" s="709"/>
      <c r="M7" s="709"/>
      <c r="N7" s="709"/>
      <c r="O7" s="709"/>
      <c r="P7" s="709"/>
      <c r="Q7" s="709"/>
      <c r="R7" s="709"/>
      <c r="S7" s="709"/>
      <c r="T7" s="710"/>
    </row>
    <row r="8" spans="1:21" s="218" customFormat="1" ht="43.5" customHeight="1">
      <c r="A8" s="728"/>
      <c r="B8" s="729"/>
      <c r="C8" s="710"/>
      <c r="D8" s="712"/>
      <c r="E8" s="742" t="s">
        <v>139</v>
      </c>
      <c r="F8" s="710"/>
      <c r="G8" s="710"/>
      <c r="H8" s="710" t="s">
        <v>140</v>
      </c>
      <c r="I8" s="710"/>
      <c r="J8" s="710"/>
      <c r="K8" s="710" t="s">
        <v>141</v>
      </c>
      <c r="L8" s="710"/>
      <c r="M8" s="710" t="s">
        <v>142</v>
      </c>
      <c r="N8" s="710"/>
      <c r="O8" s="710"/>
      <c r="P8" s="710" t="s">
        <v>143</v>
      </c>
      <c r="Q8" s="710" t="s">
        <v>144</v>
      </c>
      <c r="R8" s="710" t="s">
        <v>145</v>
      </c>
      <c r="S8" s="739" t="s">
        <v>146</v>
      </c>
      <c r="T8" s="710"/>
      <c r="U8" s="702" t="s">
        <v>318</v>
      </c>
    </row>
    <row r="9" spans="1:21" s="218" customFormat="1" ht="44.25" customHeight="1">
      <c r="A9" s="730"/>
      <c r="B9" s="731"/>
      <c r="C9" s="710"/>
      <c r="D9" s="713"/>
      <c r="E9" s="219" t="s">
        <v>147</v>
      </c>
      <c r="F9" s="215" t="s">
        <v>148</v>
      </c>
      <c r="G9" s="215" t="s">
        <v>319</v>
      </c>
      <c r="H9" s="215" t="s">
        <v>149</v>
      </c>
      <c r="I9" s="215" t="s">
        <v>150</v>
      </c>
      <c r="J9" s="215" t="s">
        <v>151</v>
      </c>
      <c r="K9" s="215" t="s">
        <v>148</v>
      </c>
      <c r="L9" s="215" t="s">
        <v>152</v>
      </c>
      <c r="M9" s="215" t="s">
        <v>153</v>
      </c>
      <c r="N9" s="215" t="s">
        <v>154</v>
      </c>
      <c r="O9" s="215" t="s">
        <v>320</v>
      </c>
      <c r="P9" s="710"/>
      <c r="Q9" s="710"/>
      <c r="R9" s="710"/>
      <c r="S9" s="739"/>
      <c r="T9" s="710"/>
      <c r="U9" s="703"/>
    </row>
    <row r="10" spans="1:21" s="222" customFormat="1" ht="15.75" customHeight="1">
      <c r="A10" s="706" t="s">
        <v>6</v>
      </c>
      <c r="B10" s="707"/>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03"/>
    </row>
    <row r="11" spans="1:21" s="222" customFormat="1" ht="15.75" customHeight="1">
      <c r="A11" s="740" t="s">
        <v>298</v>
      </c>
      <c r="B11" s="741"/>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04"/>
    </row>
    <row r="12" spans="1:21" s="222" customFormat="1" ht="15.75" customHeight="1">
      <c r="A12" s="716" t="s">
        <v>299</v>
      </c>
      <c r="B12" s="717"/>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22" t="s">
        <v>30</v>
      </c>
      <c r="B13" s="723"/>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268</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300</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271</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272</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273</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274</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279</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281</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282</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283</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285</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08" t="s">
        <v>286</v>
      </c>
      <c r="C28" s="708"/>
      <c r="D28" s="708"/>
      <c r="E28" s="708"/>
      <c r="F28" s="181"/>
      <c r="G28" s="181"/>
      <c r="H28" s="181"/>
      <c r="I28" s="181"/>
      <c r="J28" s="181"/>
      <c r="K28" s="181" t="s">
        <v>155</v>
      </c>
      <c r="L28" s="182"/>
      <c r="M28" s="715" t="s">
        <v>321</v>
      </c>
      <c r="N28" s="715"/>
      <c r="O28" s="715"/>
      <c r="P28" s="715"/>
      <c r="Q28" s="715"/>
      <c r="R28" s="715"/>
      <c r="S28" s="715"/>
      <c r="T28" s="715"/>
    </row>
    <row r="29" spans="1:20" s="233" customFormat="1" ht="18.75" customHeight="1">
      <c r="A29" s="232"/>
      <c r="B29" s="721" t="s">
        <v>156</v>
      </c>
      <c r="C29" s="721"/>
      <c r="D29" s="721"/>
      <c r="E29" s="234"/>
      <c r="F29" s="183"/>
      <c r="G29" s="183"/>
      <c r="H29" s="183"/>
      <c r="I29" s="183"/>
      <c r="J29" s="183"/>
      <c r="K29" s="183"/>
      <c r="L29" s="182"/>
      <c r="M29" s="724" t="s">
        <v>310</v>
      </c>
      <c r="N29" s="724"/>
      <c r="O29" s="724"/>
      <c r="P29" s="724"/>
      <c r="Q29" s="724"/>
      <c r="R29" s="724"/>
      <c r="S29" s="724"/>
      <c r="T29" s="724"/>
    </row>
    <row r="30" spans="1:20" s="233" customFormat="1" ht="18.75">
      <c r="A30" s="184"/>
      <c r="B30" s="718"/>
      <c r="C30" s="718"/>
      <c r="D30" s="718"/>
      <c r="E30" s="186"/>
      <c r="F30" s="186"/>
      <c r="G30" s="186"/>
      <c r="H30" s="186"/>
      <c r="I30" s="186"/>
      <c r="J30" s="186"/>
      <c r="K30" s="186"/>
      <c r="L30" s="186"/>
      <c r="M30" s="719"/>
      <c r="N30" s="719"/>
      <c r="O30" s="719"/>
      <c r="P30" s="719"/>
      <c r="Q30" s="719"/>
      <c r="R30" s="719"/>
      <c r="S30" s="719"/>
      <c r="T30" s="719"/>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158</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159</v>
      </c>
      <c r="C34" s="186"/>
      <c r="D34" s="186"/>
      <c r="E34" s="186"/>
      <c r="F34" s="186"/>
      <c r="G34" s="186"/>
      <c r="H34" s="186"/>
      <c r="I34" s="186"/>
      <c r="J34" s="186"/>
      <c r="K34" s="186"/>
      <c r="L34" s="186"/>
      <c r="M34" s="186"/>
      <c r="N34" s="186"/>
      <c r="O34" s="186"/>
      <c r="P34" s="186"/>
      <c r="Q34" s="186"/>
      <c r="R34" s="186"/>
      <c r="S34" s="186"/>
      <c r="T34" s="186"/>
    </row>
    <row r="35" spans="2:20" ht="18.75" hidden="1">
      <c r="B35" s="236" t="s">
        <v>160</v>
      </c>
      <c r="C35" s="186"/>
      <c r="D35" s="186"/>
      <c r="E35" s="186"/>
      <c r="F35" s="186"/>
      <c r="G35" s="186"/>
      <c r="H35" s="186"/>
      <c r="I35" s="186"/>
      <c r="J35" s="186"/>
      <c r="K35" s="186"/>
      <c r="L35" s="186"/>
      <c r="M35" s="186"/>
      <c r="N35" s="186"/>
      <c r="O35" s="186"/>
      <c r="P35" s="186"/>
      <c r="Q35" s="186"/>
      <c r="R35" s="186"/>
      <c r="S35" s="186"/>
      <c r="T35" s="186"/>
    </row>
    <row r="36" spans="2:20" s="211" customFormat="1" ht="18.75">
      <c r="B36" s="720" t="s">
        <v>290</v>
      </c>
      <c r="C36" s="720"/>
      <c r="D36" s="720"/>
      <c r="E36" s="236"/>
      <c r="F36" s="236"/>
      <c r="G36" s="236"/>
      <c r="H36" s="236"/>
      <c r="I36" s="236"/>
      <c r="J36" s="236"/>
      <c r="K36" s="236"/>
      <c r="L36" s="236"/>
      <c r="M36" s="236"/>
      <c r="N36" s="720" t="s">
        <v>290</v>
      </c>
      <c r="O36" s="720"/>
      <c r="P36" s="720"/>
      <c r="Q36" s="720"/>
      <c r="R36" s="720"/>
      <c r="S36" s="720"/>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91" t="s">
        <v>246</v>
      </c>
      <c r="C38" s="591"/>
      <c r="D38" s="591"/>
      <c r="E38" s="210"/>
      <c r="F38" s="210"/>
      <c r="G38" s="210"/>
      <c r="H38" s="210"/>
      <c r="I38" s="182"/>
      <c r="J38" s="182"/>
      <c r="K38" s="182"/>
      <c r="L38" s="182"/>
      <c r="M38" s="592" t="s">
        <v>247</v>
      </c>
      <c r="N38" s="592"/>
      <c r="O38" s="592"/>
      <c r="P38" s="592"/>
      <c r="Q38" s="592"/>
      <c r="R38" s="592"/>
      <c r="S38" s="592"/>
      <c r="T38" s="592"/>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67" t="s">
        <v>161</v>
      </c>
      <c r="B1" s="767"/>
      <c r="C1" s="767"/>
      <c r="D1" s="238"/>
      <c r="E1" s="776" t="s">
        <v>162</v>
      </c>
      <c r="F1" s="776"/>
      <c r="G1" s="776"/>
      <c r="H1" s="776"/>
      <c r="I1" s="776"/>
      <c r="J1" s="776"/>
      <c r="K1" s="776"/>
      <c r="L1" s="776"/>
      <c r="M1" s="776"/>
      <c r="N1" s="776"/>
      <c r="O1" s="191"/>
      <c r="P1" s="772" t="s">
        <v>360</v>
      </c>
      <c r="Q1" s="772"/>
      <c r="R1" s="772"/>
      <c r="S1" s="772"/>
      <c r="T1" s="772"/>
    </row>
    <row r="2" spans="1:20" ht="15.75" customHeight="1">
      <c r="A2" s="768" t="s">
        <v>322</v>
      </c>
      <c r="B2" s="768"/>
      <c r="C2" s="768"/>
      <c r="D2" s="768"/>
      <c r="E2" s="770" t="s">
        <v>163</v>
      </c>
      <c r="F2" s="770"/>
      <c r="G2" s="770"/>
      <c r="H2" s="770"/>
      <c r="I2" s="770"/>
      <c r="J2" s="770"/>
      <c r="K2" s="770"/>
      <c r="L2" s="770"/>
      <c r="M2" s="770"/>
      <c r="N2" s="770"/>
      <c r="O2" s="194"/>
      <c r="P2" s="773" t="s">
        <v>302</v>
      </c>
      <c r="Q2" s="773"/>
      <c r="R2" s="773"/>
      <c r="S2" s="773"/>
      <c r="T2" s="773"/>
    </row>
    <row r="3" spans="1:20" ht="17.25">
      <c r="A3" s="768" t="s">
        <v>253</v>
      </c>
      <c r="B3" s="768"/>
      <c r="C3" s="768"/>
      <c r="D3" s="239"/>
      <c r="E3" s="778" t="s">
        <v>254</v>
      </c>
      <c r="F3" s="778"/>
      <c r="G3" s="778"/>
      <c r="H3" s="778"/>
      <c r="I3" s="778"/>
      <c r="J3" s="778"/>
      <c r="K3" s="778"/>
      <c r="L3" s="778"/>
      <c r="M3" s="778"/>
      <c r="N3" s="778"/>
      <c r="O3" s="194"/>
      <c r="P3" s="774" t="s">
        <v>361</v>
      </c>
      <c r="Q3" s="774"/>
      <c r="R3" s="774"/>
      <c r="S3" s="774"/>
      <c r="T3" s="774"/>
    </row>
    <row r="4" spans="1:20" ht="18.75" customHeight="1">
      <c r="A4" s="769" t="s">
        <v>255</v>
      </c>
      <c r="B4" s="769"/>
      <c r="C4" s="769"/>
      <c r="D4" s="771"/>
      <c r="E4" s="771"/>
      <c r="F4" s="771"/>
      <c r="G4" s="771"/>
      <c r="H4" s="771"/>
      <c r="I4" s="771"/>
      <c r="J4" s="771"/>
      <c r="K4" s="771"/>
      <c r="L4" s="771"/>
      <c r="M4" s="771"/>
      <c r="N4" s="771"/>
      <c r="O4" s="195"/>
      <c r="P4" s="773" t="s">
        <v>294</v>
      </c>
      <c r="Q4" s="774"/>
      <c r="R4" s="774"/>
      <c r="S4" s="774"/>
      <c r="T4" s="774"/>
    </row>
    <row r="5" spans="1:23" ht="15">
      <c r="A5" s="208"/>
      <c r="B5" s="208"/>
      <c r="C5" s="240"/>
      <c r="D5" s="240"/>
      <c r="E5" s="208"/>
      <c r="F5" s="208"/>
      <c r="G5" s="208"/>
      <c r="H5" s="208"/>
      <c r="I5" s="208"/>
      <c r="J5" s="208"/>
      <c r="K5" s="208"/>
      <c r="L5" s="208"/>
      <c r="P5" s="757" t="s">
        <v>317</v>
      </c>
      <c r="Q5" s="757"/>
      <c r="R5" s="757"/>
      <c r="S5" s="757"/>
      <c r="T5" s="757"/>
      <c r="U5" s="241"/>
      <c r="V5" s="241"/>
      <c r="W5" s="241"/>
    </row>
    <row r="6" spans="1:23" ht="29.25" customHeight="1">
      <c r="A6" s="726" t="s">
        <v>57</v>
      </c>
      <c r="B6" s="754"/>
      <c r="C6" s="749" t="s">
        <v>2</v>
      </c>
      <c r="D6" s="758" t="s">
        <v>164</v>
      </c>
      <c r="E6" s="759"/>
      <c r="F6" s="759"/>
      <c r="G6" s="759"/>
      <c r="H6" s="759"/>
      <c r="I6" s="759"/>
      <c r="J6" s="760"/>
      <c r="K6" s="779" t="s">
        <v>165</v>
      </c>
      <c r="L6" s="780"/>
      <c r="M6" s="780"/>
      <c r="N6" s="780"/>
      <c r="O6" s="780"/>
      <c r="P6" s="780"/>
      <c r="Q6" s="780"/>
      <c r="R6" s="780"/>
      <c r="S6" s="780"/>
      <c r="T6" s="781"/>
      <c r="U6" s="242"/>
      <c r="V6" s="243"/>
      <c r="W6" s="243"/>
    </row>
    <row r="7" spans="1:20" ht="19.5" customHeight="1">
      <c r="A7" s="728"/>
      <c r="B7" s="755"/>
      <c r="C7" s="750"/>
      <c r="D7" s="759" t="s">
        <v>7</v>
      </c>
      <c r="E7" s="759"/>
      <c r="F7" s="759"/>
      <c r="G7" s="759"/>
      <c r="H7" s="759"/>
      <c r="I7" s="759"/>
      <c r="J7" s="760"/>
      <c r="K7" s="782"/>
      <c r="L7" s="783"/>
      <c r="M7" s="783"/>
      <c r="N7" s="783"/>
      <c r="O7" s="783"/>
      <c r="P7" s="783"/>
      <c r="Q7" s="783"/>
      <c r="R7" s="783"/>
      <c r="S7" s="783"/>
      <c r="T7" s="784"/>
    </row>
    <row r="8" spans="1:20" ht="33" customHeight="1">
      <c r="A8" s="728"/>
      <c r="B8" s="755"/>
      <c r="C8" s="750"/>
      <c r="D8" s="747" t="s">
        <v>166</v>
      </c>
      <c r="E8" s="785"/>
      <c r="F8" s="748" t="s">
        <v>167</v>
      </c>
      <c r="G8" s="785"/>
      <c r="H8" s="748" t="s">
        <v>168</v>
      </c>
      <c r="I8" s="785"/>
      <c r="J8" s="748" t="s">
        <v>169</v>
      </c>
      <c r="K8" s="775" t="s">
        <v>170</v>
      </c>
      <c r="L8" s="775"/>
      <c r="M8" s="775"/>
      <c r="N8" s="775" t="s">
        <v>171</v>
      </c>
      <c r="O8" s="775"/>
      <c r="P8" s="775"/>
      <c r="Q8" s="748" t="s">
        <v>172</v>
      </c>
      <c r="R8" s="777" t="s">
        <v>173</v>
      </c>
      <c r="S8" s="777" t="s">
        <v>174</v>
      </c>
      <c r="T8" s="748" t="s">
        <v>175</v>
      </c>
    </row>
    <row r="9" spans="1:20" ht="18.75" customHeight="1">
      <c r="A9" s="728"/>
      <c r="B9" s="755"/>
      <c r="C9" s="750"/>
      <c r="D9" s="747" t="s">
        <v>176</v>
      </c>
      <c r="E9" s="748" t="s">
        <v>177</v>
      </c>
      <c r="F9" s="748" t="s">
        <v>176</v>
      </c>
      <c r="G9" s="748" t="s">
        <v>177</v>
      </c>
      <c r="H9" s="748" t="s">
        <v>176</v>
      </c>
      <c r="I9" s="748" t="s">
        <v>178</v>
      </c>
      <c r="J9" s="748"/>
      <c r="K9" s="775"/>
      <c r="L9" s="775"/>
      <c r="M9" s="775"/>
      <c r="N9" s="775"/>
      <c r="O9" s="775"/>
      <c r="P9" s="775"/>
      <c r="Q9" s="748"/>
      <c r="R9" s="777"/>
      <c r="S9" s="777"/>
      <c r="T9" s="748"/>
    </row>
    <row r="10" spans="1:20" ht="23.25" customHeight="1">
      <c r="A10" s="730"/>
      <c r="B10" s="756"/>
      <c r="C10" s="751"/>
      <c r="D10" s="747"/>
      <c r="E10" s="748"/>
      <c r="F10" s="748"/>
      <c r="G10" s="748"/>
      <c r="H10" s="748"/>
      <c r="I10" s="748"/>
      <c r="J10" s="748"/>
      <c r="K10" s="244" t="s">
        <v>179</v>
      </c>
      <c r="L10" s="244" t="s">
        <v>154</v>
      </c>
      <c r="M10" s="244" t="s">
        <v>180</v>
      </c>
      <c r="N10" s="244" t="s">
        <v>179</v>
      </c>
      <c r="O10" s="244" t="s">
        <v>181</v>
      </c>
      <c r="P10" s="244" t="s">
        <v>182</v>
      </c>
      <c r="Q10" s="748"/>
      <c r="R10" s="777"/>
      <c r="S10" s="777"/>
      <c r="T10" s="748"/>
    </row>
    <row r="11" spans="1:32" s="201" customFormat="1" ht="17.25" customHeight="1">
      <c r="A11" s="752" t="s">
        <v>6</v>
      </c>
      <c r="B11" s="753"/>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64" t="s">
        <v>323</v>
      </c>
      <c r="B12" s="765"/>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43" t="s">
        <v>299</v>
      </c>
      <c r="B13" s="744"/>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46" t="s">
        <v>183</v>
      </c>
      <c r="B14" s="747"/>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268</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300</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271</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272</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273</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274</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279</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281</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282</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283</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285</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287</v>
      </c>
      <c r="AI28" s="190">
        <f>82/88</f>
        <v>0.9318181818181818</v>
      </c>
    </row>
    <row r="29" spans="1:20" ht="15.75" customHeight="1">
      <c r="A29" s="202"/>
      <c r="B29" s="762" t="s">
        <v>311</v>
      </c>
      <c r="C29" s="762"/>
      <c r="D29" s="762"/>
      <c r="E29" s="762"/>
      <c r="F29" s="258"/>
      <c r="G29" s="258"/>
      <c r="H29" s="258"/>
      <c r="I29" s="258"/>
      <c r="J29" s="258"/>
      <c r="K29" s="258"/>
      <c r="L29" s="206"/>
      <c r="M29" s="761" t="s">
        <v>324</v>
      </c>
      <c r="N29" s="761"/>
      <c r="O29" s="761"/>
      <c r="P29" s="761"/>
      <c r="Q29" s="761"/>
      <c r="R29" s="761"/>
      <c r="S29" s="761"/>
      <c r="T29" s="761"/>
    </row>
    <row r="30" spans="1:20" ht="18.75" customHeight="1">
      <c r="A30" s="202"/>
      <c r="B30" s="763" t="s">
        <v>156</v>
      </c>
      <c r="C30" s="763"/>
      <c r="D30" s="763"/>
      <c r="E30" s="763"/>
      <c r="F30" s="205"/>
      <c r="G30" s="205"/>
      <c r="H30" s="205"/>
      <c r="I30" s="205"/>
      <c r="J30" s="205"/>
      <c r="K30" s="205"/>
      <c r="L30" s="206"/>
      <c r="M30" s="766" t="s">
        <v>157</v>
      </c>
      <c r="N30" s="766"/>
      <c r="O30" s="766"/>
      <c r="P30" s="766"/>
      <c r="Q30" s="766"/>
      <c r="R30" s="766"/>
      <c r="S30" s="766"/>
      <c r="T30" s="766"/>
    </row>
    <row r="31" spans="1:20" ht="18.75">
      <c r="A31" s="208"/>
      <c r="B31" s="718"/>
      <c r="C31" s="718"/>
      <c r="D31" s="718"/>
      <c r="E31" s="718"/>
      <c r="F31" s="209"/>
      <c r="G31" s="209"/>
      <c r="H31" s="209"/>
      <c r="I31" s="209"/>
      <c r="J31" s="209"/>
      <c r="K31" s="209"/>
      <c r="L31" s="209"/>
      <c r="M31" s="719"/>
      <c r="N31" s="719"/>
      <c r="O31" s="719"/>
      <c r="P31" s="719"/>
      <c r="Q31" s="719"/>
      <c r="R31" s="719"/>
      <c r="S31" s="719"/>
      <c r="T31" s="719"/>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45" t="s">
        <v>290</v>
      </c>
      <c r="C33" s="745"/>
      <c r="D33" s="745"/>
      <c r="E33" s="745"/>
      <c r="F33" s="745"/>
      <c r="G33" s="259"/>
      <c r="H33" s="259"/>
      <c r="I33" s="259"/>
      <c r="J33" s="259"/>
      <c r="K33" s="259"/>
      <c r="L33" s="259"/>
      <c r="M33" s="259"/>
      <c r="N33" s="745" t="s">
        <v>290</v>
      </c>
      <c r="O33" s="745"/>
      <c r="P33" s="745"/>
      <c r="Q33" s="745"/>
      <c r="R33" s="745"/>
      <c r="S33" s="745"/>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91" t="s">
        <v>246</v>
      </c>
      <c r="C35" s="591"/>
      <c r="D35" s="591"/>
      <c r="E35" s="591"/>
      <c r="F35" s="210"/>
      <c r="G35" s="210"/>
      <c r="H35" s="210"/>
      <c r="I35" s="182"/>
      <c r="J35" s="182"/>
      <c r="K35" s="182"/>
      <c r="L35" s="182"/>
      <c r="M35" s="592" t="s">
        <v>247</v>
      </c>
      <c r="N35" s="592"/>
      <c r="O35" s="592"/>
      <c r="P35" s="592"/>
      <c r="Q35" s="592"/>
      <c r="R35" s="592"/>
      <c r="S35" s="592"/>
      <c r="T35" s="592"/>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132</v>
      </c>
    </row>
    <row r="39" spans="2:8" s="262" customFormat="1" ht="15" hidden="1">
      <c r="B39" s="263" t="s">
        <v>184</v>
      </c>
      <c r="C39" s="263"/>
      <c r="D39" s="263"/>
      <c r="E39" s="263"/>
      <c r="F39" s="263"/>
      <c r="G39" s="263"/>
      <c r="H39" s="263"/>
    </row>
    <row r="40" spans="2:8" s="264" customFormat="1" ht="15" hidden="1">
      <c r="B40" s="263" t="s">
        <v>185</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89" t="s">
        <v>186</v>
      </c>
      <c r="B1" s="789"/>
      <c r="C1" s="789"/>
      <c r="D1" s="792" t="s">
        <v>363</v>
      </c>
      <c r="E1" s="792"/>
      <c r="F1" s="792"/>
      <c r="G1" s="792"/>
      <c r="H1" s="792"/>
      <c r="I1" s="792"/>
      <c r="J1" s="793" t="s">
        <v>364</v>
      </c>
      <c r="K1" s="794"/>
      <c r="L1" s="794"/>
    </row>
    <row r="2" spans="1:12" ht="34.5" customHeight="1">
      <c r="A2" s="795" t="s">
        <v>325</v>
      </c>
      <c r="B2" s="795"/>
      <c r="C2" s="795"/>
      <c r="D2" s="792"/>
      <c r="E2" s="792"/>
      <c r="F2" s="792"/>
      <c r="G2" s="792"/>
      <c r="H2" s="792"/>
      <c r="I2" s="792"/>
      <c r="J2" s="796" t="s">
        <v>365</v>
      </c>
      <c r="K2" s="797"/>
      <c r="L2" s="797"/>
    </row>
    <row r="3" spans="1:12" ht="15" customHeight="1">
      <c r="A3" s="265" t="s">
        <v>255</v>
      </c>
      <c r="B3" s="174"/>
      <c r="C3" s="798"/>
      <c r="D3" s="798"/>
      <c r="E3" s="798"/>
      <c r="F3" s="798"/>
      <c r="G3" s="798"/>
      <c r="H3" s="798"/>
      <c r="I3" s="798"/>
      <c r="J3" s="790"/>
      <c r="K3" s="791"/>
      <c r="L3" s="791"/>
    </row>
    <row r="4" spans="1:12" ht="15.75" customHeight="1">
      <c r="A4" s="266"/>
      <c r="B4" s="266"/>
      <c r="C4" s="267"/>
      <c r="D4" s="267"/>
      <c r="E4" s="170"/>
      <c r="F4" s="170"/>
      <c r="G4" s="170"/>
      <c r="H4" s="268"/>
      <c r="I4" s="268"/>
      <c r="J4" s="786" t="s">
        <v>187</v>
      </c>
      <c r="K4" s="786"/>
      <c r="L4" s="786"/>
    </row>
    <row r="5" spans="1:12" s="269" customFormat="1" ht="28.5" customHeight="1">
      <c r="A5" s="800" t="s">
        <v>57</v>
      </c>
      <c r="B5" s="800"/>
      <c r="C5" s="710" t="s">
        <v>31</v>
      </c>
      <c r="D5" s="710" t="s">
        <v>188</v>
      </c>
      <c r="E5" s="710"/>
      <c r="F5" s="710"/>
      <c r="G5" s="710"/>
      <c r="H5" s="710" t="s">
        <v>189</v>
      </c>
      <c r="I5" s="710"/>
      <c r="J5" s="710" t="s">
        <v>190</v>
      </c>
      <c r="K5" s="710"/>
      <c r="L5" s="710"/>
    </row>
    <row r="6" spans="1:13" s="269" customFormat="1" ht="80.25" customHeight="1">
      <c r="A6" s="800"/>
      <c r="B6" s="800"/>
      <c r="C6" s="710"/>
      <c r="D6" s="215" t="s">
        <v>191</v>
      </c>
      <c r="E6" s="215" t="s">
        <v>192</v>
      </c>
      <c r="F6" s="215" t="s">
        <v>326</v>
      </c>
      <c r="G6" s="215" t="s">
        <v>193</v>
      </c>
      <c r="H6" s="215" t="s">
        <v>194</v>
      </c>
      <c r="I6" s="215" t="s">
        <v>195</v>
      </c>
      <c r="J6" s="215" t="s">
        <v>196</v>
      </c>
      <c r="K6" s="215" t="s">
        <v>197</v>
      </c>
      <c r="L6" s="215" t="s">
        <v>198</v>
      </c>
      <c r="M6" s="270"/>
    </row>
    <row r="7" spans="1:12" s="271" customFormat="1" ht="16.5" customHeight="1">
      <c r="A7" s="787" t="s">
        <v>6</v>
      </c>
      <c r="B7" s="787"/>
      <c r="C7" s="221">
        <v>1</v>
      </c>
      <c r="D7" s="221">
        <v>2</v>
      </c>
      <c r="E7" s="221">
        <v>3</v>
      </c>
      <c r="F7" s="221">
        <v>4</v>
      </c>
      <c r="G7" s="221">
        <v>5</v>
      </c>
      <c r="H7" s="221">
        <v>6</v>
      </c>
      <c r="I7" s="221">
        <v>7</v>
      </c>
      <c r="J7" s="221">
        <v>8</v>
      </c>
      <c r="K7" s="221">
        <v>9</v>
      </c>
      <c r="L7" s="221">
        <v>10</v>
      </c>
    </row>
    <row r="8" spans="1:12" s="271" customFormat="1" ht="16.5" customHeight="1">
      <c r="A8" s="803" t="s">
        <v>323</v>
      </c>
      <c r="B8" s="804"/>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01" t="s">
        <v>299</v>
      </c>
      <c r="B9" s="802"/>
      <c r="C9" s="224">
        <v>9</v>
      </c>
      <c r="D9" s="224">
        <v>2</v>
      </c>
      <c r="E9" s="224">
        <v>2</v>
      </c>
      <c r="F9" s="224">
        <v>0</v>
      </c>
      <c r="G9" s="224">
        <v>5</v>
      </c>
      <c r="H9" s="224">
        <v>8</v>
      </c>
      <c r="I9" s="224">
        <v>0</v>
      </c>
      <c r="J9" s="224">
        <v>8</v>
      </c>
      <c r="K9" s="224">
        <v>1</v>
      </c>
      <c r="L9" s="224">
        <v>0</v>
      </c>
    </row>
    <row r="10" spans="1:12" s="271" customFormat="1" ht="16.5" customHeight="1">
      <c r="A10" s="788" t="s">
        <v>183</v>
      </c>
      <c r="B10" s="788"/>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199</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268</v>
      </c>
      <c r="C13" s="272">
        <f aca="true" t="shared" si="3" ref="C13:C23">D13+E13+F13+G13</f>
        <v>0</v>
      </c>
      <c r="D13" s="231">
        <v>0</v>
      </c>
      <c r="E13" s="231">
        <v>0</v>
      </c>
      <c r="F13" s="231">
        <v>0</v>
      </c>
      <c r="G13" s="231">
        <v>0</v>
      </c>
      <c r="H13" s="231">
        <v>0</v>
      </c>
      <c r="I13" s="231">
        <v>0</v>
      </c>
      <c r="J13" s="273">
        <v>0</v>
      </c>
      <c r="K13" s="273">
        <v>0</v>
      </c>
      <c r="L13" s="273">
        <v>0</v>
      </c>
      <c r="AF13" s="271" t="s">
        <v>267</v>
      </c>
    </row>
    <row r="14" spans="1:37" s="271" customFormat="1" ht="16.5" customHeight="1">
      <c r="A14" s="274">
        <v>2</v>
      </c>
      <c r="B14" s="68" t="s">
        <v>300</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271</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272</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327</v>
      </c>
      <c r="C17" s="272">
        <f t="shared" si="3"/>
        <v>1</v>
      </c>
      <c r="D17" s="231">
        <v>0</v>
      </c>
      <c r="E17" s="231">
        <v>0</v>
      </c>
      <c r="F17" s="231">
        <v>0</v>
      </c>
      <c r="G17" s="231">
        <v>1</v>
      </c>
      <c r="H17" s="231">
        <v>1</v>
      </c>
      <c r="I17" s="231">
        <v>0</v>
      </c>
      <c r="J17" s="273">
        <v>1</v>
      </c>
      <c r="K17" s="273">
        <v>0</v>
      </c>
      <c r="L17" s="273">
        <v>0</v>
      </c>
      <c r="AF17" s="199" t="s">
        <v>270</v>
      </c>
    </row>
    <row r="18" spans="1:12" s="271" customFormat="1" ht="16.5" customHeight="1">
      <c r="A18" s="274">
        <v>6</v>
      </c>
      <c r="B18" s="68" t="s">
        <v>274</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279</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281</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282</v>
      </c>
      <c r="C21" s="272">
        <f t="shared" si="3"/>
        <v>0</v>
      </c>
      <c r="D21" s="231">
        <v>0</v>
      </c>
      <c r="E21" s="231">
        <v>0</v>
      </c>
      <c r="F21" s="231">
        <v>0</v>
      </c>
      <c r="G21" s="231">
        <v>0</v>
      </c>
      <c r="H21" s="231">
        <v>0</v>
      </c>
      <c r="I21" s="231">
        <v>0</v>
      </c>
      <c r="J21" s="273">
        <v>0</v>
      </c>
      <c r="K21" s="273">
        <v>0</v>
      </c>
      <c r="L21" s="273">
        <v>0</v>
      </c>
      <c r="AJ21" s="271" t="s">
        <v>275</v>
      </c>
      <c r="AK21" s="271" t="s">
        <v>276</v>
      </c>
      <c r="AL21" s="271" t="s">
        <v>277</v>
      </c>
      <c r="AM21" s="199" t="s">
        <v>278</v>
      </c>
    </row>
    <row r="22" spans="1:39" s="271" customFormat="1" ht="16.5" customHeight="1">
      <c r="A22" s="274">
        <v>10</v>
      </c>
      <c r="B22" s="68" t="s">
        <v>283</v>
      </c>
      <c r="C22" s="272">
        <f t="shared" si="3"/>
        <v>1</v>
      </c>
      <c r="D22" s="231">
        <v>0</v>
      </c>
      <c r="E22" s="231">
        <v>1</v>
      </c>
      <c r="F22" s="231">
        <v>0</v>
      </c>
      <c r="G22" s="231">
        <v>0</v>
      </c>
      <c r="H22" s="231">
        <v>1</v>
      </c>
      <c r="I22" s="231">
        <v>0</v>
      </c>
      <c r="J22" s="273">
        <v>1</v>
      </c>
      <c r="K22" s="273">
        <v>0</v>
      </c>
      <c r="L22" s="273">
        <v>0</v>
      </c>
      <c r="AM22" s="199" t="s">
        <v>280</v>
      </c>
    </row>
    <row r="23" spans="1:12" s="271" customFormat="1" ht="16.5" customHeight="1">
      <c r="A23" s="274">
        <v>11</v>
      </c>
      <c r="B23" s="68" t="s">
        <v>285</v>
      </c>
      <c r="C23" s="272">
        <f t="shared" si="3"/>
        <v>0</v>
      </c>
      <c r="D23" s="231">
        <v>0</v>
      </c>
      <c r="E23" s="231">
        <v>0</v>
      </c>
      <c r="F23" s="231">
        <v>0</v>
      </c>
      <c r="G23" s="231">
        <v>0</v>
      </c>
      <c r="H23" s="231">
        <v>0</v>
      </c>
      <c r="I23" s="231">
        <v>0</v>
      </c>
      <c r="J23" s="273">
        <v>0</v>
      </c>
      <c r="K23" s="273">
        <v>0</v>
      </c>
      <c r="L23" s="273">
        <v>0</v>
      </c>
    </row>
    <row r="24" ht="9" customHeight="1">
      <c r="AJ24" s="233" t="s">
        <v>275</v>
      </c>
    </row>
    <row r="25" spans="1:36" ht="15.75" customHeight="1">
      <c r="A25" s="708" t="s">
        <v>328</v>
      </c>
      <c r="B25" s="708"/>
      <c r="C25" s="708"/>
      <c r="D25" s="708"/>
      <c r="E25" s="182"/>
      <c r="F25" s="715" t="s">
        <v>286</v>
      </c>
      <c r="G25" s="715"/>
      <c r="H25" s="715"/>
      <c r="I25" s="715"/>
      <c r="J25" s="715"/>
      <c r="K25" s="715"/>
      <c r="L25" s="715"/>
      <c r="AJ25" s="190" t="s">
        <v>284</v>
      </c>
    </row>
    <row r="26" spans="1:44" ht="15" customHeight="1">
      <c r="A26" s="721" t="s">
        <v>156</v>
      </c>
      <c r="B26" s="721"/>
      <c r="C26" s="721"/>
      <c r="D26" s="721"/>
      <c r="E26" s="183"/>
      <c r="F26" s="724" t="s">
        <v>157</v>
      </c>
      <c r="G26" s="724"/>
      <c r="H26" s="724"/>
      <c r="I26" s="724"/>
      <c r="J26" s="724"/>
      <c r="K26" s="724"/>
      <c r="L26" s="724"/>
      <c r="AR26" s="190"/>
    </row>
    <row r="27" spans="1:12" s="170" customFormat="1" ht="18.75">
      <c r="A27" s="718"/>
      <c r="B27" s="718"/>
      <c r="C27" s="718"/>
      <c r="D27" s="718"/>
      <c r="E27" s="182"/>
      <c r="F27" s="719"/>
      <c r="G27" s="719"/>
      <c r="H27" s="719"/>
      <c r="I27" s="719"/>
      <c r="J27" s="719"/>
      <c r="K27" s="719"/>
      <c r="L27" s="719"/>
    </row>
    <row r="28" spans="1:35" ht="18">
      <c r="A28" s="187"/>
      <c r="B28" s="187"/>
      <c r="C28" s="182"/>
      <c r="D28" s="182"/>
      <c r="E28" s="182"/>
      <c r="F28" s="182"/>
      <c r="G28" s="182"/>
      <c r="H28" s="182"/>
      <c r="I28" s="182"/>
      <c r="J28" s="182"/>
      <c r="K28" s="182"/>
      <c r="L28" s="182"/>
      <c r="AG28" s="233" t="s">
        <v>287</v>
      </c>
      <c r="AI28" s="190">
        <f>82/88</f>
        <v>0.9318181818181818</v>
      </c>
    </row>
    <row r="29" spans="1:12" ht="18">
      <c r="A29" s="187"/>
      <c r="B29" s="799" t="s">
        <v>290</v>
      </c>
      <c r="C29" s="799"/>
      <c r="D29" s="182"/>
      <c r="E29" s="182"/>
      <c r="F29" s="182"/>
      <c r="G29" s="182"/>
      <c r="H29" s="799" t="s">
        <v>290</v>
      </c>
      <c r="I29" s="799"/>
      <c r="J29" s="799"/>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200</v>
      </c>
      <c r="B32" s="185"/>
      <c r="C32" s="186"/>
      <c r="D32" s="186"/>
      <c r="E32" s="186"/>
      <c r="F32" s="186"/>
      <c r="G32" s="186"/>
      <c r="H32" s="186"/>
      <c r="I32" s="186"/>
      <c r="J32" s="186"/>
      <c r="K32" s="186"/>
      <c r="L32" s="186"/>
    </row>
    <row r="33" spans="1:12" s="211" customFormat="1" ht="18.75" hidden="1">
      <c r="A33" s="237"/>
      <c r="B33" s="279" t="s">
        <v>201</v>
      </c>
      <c r="C33" s="279"/>
      <c r="D33" s="279"/>
      <c r="E33" s="236"/>
      <c r="F33" s="236"/>
      <c r="G33" s="236"/>
      <c r="H33" s="236"/>
      <c r="I33" s="236"/>
      <c r="J33" s="236"/>
      <c r="K33" s="236"/>
      <c r="L33" s="236"/>
    </row>
    <row r="34" spans="1:12" s="211" customFormat="1" ht="18.75" hidden="1">
      <c r="A34" s="237"/>
      <c r="B34" s="279" t="s">
        <v>202</v>
      </c>
      <c r="C34" s="279"/>
      <c r="D34" s="279"/>
      <c r="E34" s="279"/>
      <c r="F34" s="236"/>
      <c r="G34" s="236"/>
      <c r="H34" s="236"/>
      <c r="I34" s="236"/>
      <c r="J34" s="236"/>
      <c r="K34" s="236"/>
      <c r="L34" s="236"/>
    </row>
    <row r="35" spans="1:12" s="211" customFormat="1" ht="18.75" hidden="1">
      <c r="A35" s="237"/>
      <c r="B35" s="236" t="s">
        <v>203</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91" t="s">
        <v>246</v>
      </c>
      <c r="B37" s="591"/>
      <c r="C37" s="591"/>
      <c r="D37" s="591"/>
      <c r="E37" s="210"/>
      <c r="F37" s="592" t="s">
        <v>247</v>
      </c>
      <c r="G37" s="592"/>
      <c r="H37" s="592"/>
      <c r="I37" s="592"/>
      <c r="J37" s="592"/>
      <c r="K37" s="592"/>
      <c r="L37" s="592"/>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12" t="s">
        <v>204</v>
      </c>
      <c r="B1" s="812"/>
      <c r="C1" s="812"/>
      <c r="D1" s="792" t="s">
        <v>366</v>
      </c>
      <c r="E1" s="792"/>
      <c r="F1" s="792"/>
      <c r="G1" s="792"/>
      <c r="H1" s="792"/>
      <c r="I1" s="170"/>
      <c r="J1" s="171" t="s">
        <v>360</v>
      </c>
      <c r="K1" s="280"/>
      <c r="L1" s="280"/>
    </row>
    <row r="2" spans="1:12" ht="15.75" customHeight="1">
      <c r="A2" s="816" t="s">
        <v>301</v>
      </c>
      <c r="B2" s="816"/>
      <c r="C2" s="816"/>
      <c r="D2" s="792"/>
      <c r="E2" s="792"/>
      <c r="F2" s="792"/>
      <c r="G2" s="792"/>
      <c r="H2" s="792"/>
      <c r="I2" s="170"/>
      <c r="J2" s="281" t="s">
        <v>302</v>
      </c>
      <c r="K2" s="281"/>
      <c r="L2" s="281"/>
    </row>
    <row r="3" spans="1:12" ht="18.75" customHeight="1">
      <c r="A3" s="734" t="s">
        <v>253</v>
      </c>
      <c r="B3" s="734"/>
      <c r="C3" s="734"/>
      <c r="D3" s="167"/>
      <c r="E3" s="167"/>
      <c r="F3" s="167"/>
      <c r="G3" s="167"/>
      <c r="H3" s="167"/>
      <c r="I3" s="170"/>
      <c r="J3" s="174" t="s">
        <v>359</v>
      </c>
      <c r="K3" s="174"/>
      <c r="L3" s="174"/>
    </row>
    <row r="4" spans="1:12" ht="15.75" customHeight="1">
      <c r="A4" s="813" t="s">
        <v>329</v>
      </c>
      <c r="B4" s="813"/>
      <c r="C4" s="813"/>
      <c r="D4" s="811"/>
      <c r="E4" s="811"/>
      <c r="F4" s="811"/>
      <c r="G4" s="811"/>
      <c r="H4" s="811"/>
      <c r="I4" s="170"/>
      <c r="J4" s="282" t="s">
        <v>294</v>
      </c>
      <c r="K4" s="282"/>
      <c r="L4" s="282"/>
    </row>
    <row r="5" spans="1:12" ht="15.75">
      <c r="A5" s="817"/>
      <c r="B5" s="817"/>
      <c r="C5" s="166"/>
      <c r="D5" s="170"/>
      <c r="E5" s="170"/>
      <c r="F5" s="170"/>
      <c r="G5" s="170"/>
      <c r="H5" s="283"/>
      <c r="I5" s="809" t="s">
        <v>330</v>
      </c>
      <c r="J5" s="809"/>
      <c r="K5" s="809"/>
      <c r="L5" s="809"/>
    </row>
    <row r="6" spans="1:12" ht="18.75" customHeight="1">
      <c r="A6" s="726" t="s">
        <v>57</v>
      </c>
      <c r="B6" s="727"/>
      <c r="C6" s="805" t="s">
        <v>205</v>
      </c>
      <c r="D6" s="722" t="s">
        <v>206</v>
      </c>
      <c r="E6" s="810"/>
      <c r="F6" s="723"/>
      <c r="G6" s="722" t="s">
        <v>207</v>
      </c>
      <c r="H6" s="810"/>
      <c r="I6" s="810"/>
      <c r="J6" s="810"/>
      <c r="K6" s="810"/>
      <c r="L6" s="723"/>
    </row>
    <row r="7" spans="1:12" ht="15.75" customHeight="1">
      <c r="A7" s="728"/>
      <c r="B7" s="729"/>
      <c r="C7" s="806"/>
      <c r="D7" s="722" t="s">
        <v>7</v>
      </c>
      <c r="E7" s="810"/>
      <c r="F7" s="723"/>
      <c r="G7" s="805" t="s">
        <v>30</v>
      </c>
      <c r="H7" s="722" t="s">
        <v>7</v>
      </c>
      <c r="I7" s="810"/>
      <c r="J7" s="810"/>
      <c r="K7" s="810"/>
      <c r="L7" s="723"/>
    </row>
    <row r="8" spans="1:12" ht="14.25" customHeight="1">
      <c r="A8" s="728"/>
      <c r="B8" s="729"/>
      <c r="C8" s="806"/>
      <c r="D8" s="805" t="s">
        <v>208</v>
      </c>
      <c r="E8" s="805" t="s">
        <v>209</v>
      </c>
      <c r="F8" s="805" t="s">
        <v>210</v>
      </c>
      <c r="G8" s="806"/>
      <c r="H8" s="805" t="s">
        <v>211</v>
      </c>
      <c r="I8" s="805" t="s">
        <v>212</v>
      </c>
      <c r="J8" s="805" t="s">
        <v>213</v>
      </c>
      <c r="K8" s="805" t="s">
        <v>214</v>
      </c>
      <c r="L8" s="805" t="s">
        <v>215</v>
      </c>
    </row>
    <row r="9" spans="1:12" ht="77.25" customHeight="1">
      <c r="A9" s="730"/>
      <c r="B9" s="731"/>
      <c r="C9" s="807"/>
      <c r="D9" s="807"/>
      <c r="E9" s="807"/>
      <c r="F9" s="807"/>
      <c r="G9" s="807"/>
      <c r="H9" s="807"/>
      <c r="I9" s="807"/>
      <c r="J9" s="807"/>
      <c r="K9" s="807"/>
      <c r="L9" s="807"/>
    </row>
    <row r="10" spans="1:12" s="271" customFormat="1" ht="16.5" customHeight="1">
      <c r="A10" s="818" t="s">
        <v>6</v>
      </c>
      <c r="B10" s="819"/>
      <c r="C10" s="220">
        <v>1</v>
      </c>
      <c r="D10" s="220">
        <v>2</v>
      </c>
      <c r="E10" s="220">
        <v>3</v>
      </c>
      <c r="F10" s="220">
        <v>4</v>
      </c>
      <c r="G10" s="220">
        <v>5</v>
      </c>
      <c r="H10" s="220">
        <v>6</v>
      </c>
      <c r="I10" s="220">
        <v>7</v>
      </c>
      <c r="J10" s="220">
        <v>8</v>
      </c>
      <c r="K10" s="221" t="s">
        <v>63</v>
      </c>
      <c r="L10" s="221" t="s">
        <v>83</v>
      </c>
    </row>
    <row r="11" spans="1:12" s="271" customFormat="1" ht="16.5" customHeight="1">
      <c r="A11" s="822" t="s">
        <v>298</v>
      </c>
      <c r="B11" s="823"/>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20" t="s">
        <v>299</v>
      </c>
      <c r="B12" s="821"/>
      <c r="C12" s="224">
        <v>12</v>
      </c>
      <c r="D12" s="224">
        <v>0</v>
      </c>
      <c r="E12" s="224">
        <v>1</v>
      </c>
      <c r="F12" s="224">
        <v>11</v>
      </c>
      <c r="G12" s="224">
        <v>10</v>
      </c>
      <c r="H12" s="224">
        <v>0</v>
      </c>
      <c r="I12" s="224">
        <v>0</v>
      </c>
      <c r="J12" s="224">
        <v>0</v>
      </c>
      <c r="K12" s="224">
        <v>6</v>
      </c>
      <c r="L12" s="224">
        <v>4</v>
      </c>
    </row>
    <row r="13" spans="1:32" s="271" customFormat="1" ht="16.5" customHeight="1">
      <c r="A13" s="814" t="s">
        <v>30</v>
      </c>
      <c r="B13" s="815"/>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267</v>
      </c>
    </row>
    <row r="14" spans="1:37" s="271" customFormat="1" ht="16.5" customHeight="1">
      <c r="A14" s="274" t="s">
        <v>0</v>
      </c>
      <c r="B14" s="198" t="s">
        <v>134</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268</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269</v>
      </c>
      <c r="C17" s="226">
        <f t="shared" si="2"/>
        <v>1</v>
      </c>
      <c r="D17" s="231">
        <v>0</v>
      </c>
      <c r="E17" s="231">
        <v>0</v>
      </c>
      <c r="F17" s="231">
        <v>1</v>
      </c>
      <c r="G17" s="226">
        <f t="shared" si="1"/>
        <v>1</v>
      </c>
      <c r="H17" s="231">
        <v>0</v>
      </c>
      <c r="I17" s="231">
        <v>0</v>
      </c>
      <c r="J17" s="273">
        <v>0</v>
      </c>
      <c r="K17" s="273">
        <v>0</v>
      </c>
      <c r="L17" s="273">
        <v>1</v>
      </c>
      <c r="M17" s="285"/>
      <c r="AF17" s="199" t="s">
        <v>270</v>
      </c>
    </row>
    <row r="18" spans="1:14" s="271" customFormat="1" ht="15.75" customHeight="1">
      <c r="A18" s="200">
        <v>3</v>
      </c>
      <c r="B18" s="68" t="s">
        <v>271</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272</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273</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274</v>
      </c>
      <c r="C21" s="226">
        <f t="shared" si="2"/>
        <v>0</v>
      </c>
      <c r="D21" s="231">
        <v>0</v>
      </c>
      <c r="E21" s="231">
        <v>0</v>
      </c>
      <c r="F21" s="231">
        <v>0</v>
      </c>
      <c r="G21" s="226">
        <f t="shared" si="1"/>
        <v>0</v>
      </c>
      <c r="H21" s="231">
        <v>0</v>
      </c>
      <c r="I21" s="231">
        <v>0</v>
      </c>
      <c r="J21" s="273">
        <v>0</v>
      </c>
      <c r="K21" s="273">
        <v>0</v>
      </c>
      <c r="L21" s="273">
        <v>0</v>
      </c>
      <c r="M21" s="285"/>
      <c r="AJ21" s="271" t="s">
        <v>275</v>
      </c>
      <c r="AK21" s="271" t="s">
        <v>276</v>
      </c>
      <c r="AL21" s="271" t="s">
        <v>277</v>
      </c>
      <c r="AM21" s="199" t="s">
        <v>278</v>
      </c>
    </row>
    <row r="22" spans="1:39" s="271" customFormat="1" ht="15.75" customHeight="1">
      <c r="A22" s="200">
        <v>7</v>
      </c>
      <c r="B22" s="68" t="s">
        <v>279</v>
      </c>
      <c r="C22" s="226">
        <f t="shared" si="2"/>
        <v>0</v>
      </c>
      <c r="D22" s="231">
        <v>0</v>
      </c>
      <c r="E22" s="231">
        <v>0</v>
      </c>
      <c r="F22" s="231">
        <v>0</v>
      </c>
      <c r="G22" s="226">
        <f t="shared" si="1"/>
        <v>0</v>
      </c>
      <c r="H22" s="231">
        <v>0</v>
      </c>
      <c r="I22" s="231">
        <v>0</v>
      </c>
      <c r="J22" s="273">
        <v>0</v>
      </c>
      <c r="K22" s="273">
        <v>0</v>
      </c>
      <c r="L22" s="273">
        <v>0</v>
      </c>
      <c r="M22" s="285"/>
      <c r="N22" s="178"/>
      <c r="AM22" s="199" t="s">
        <v>280</v>
      </c>
    </row>
    <row r="23" spans="1:13" s="271" customFormat="1" ht="15.75" customHeight="1">
      <c r="A23" s="200">
        <v>8</v>
      </c>
      <c r="B23" s="68" t="s">
        <v>281</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282</v>
      </c>
      <c r="C24" s="226">
        <f t="shared" si="2"/>
        <v>0</v>
      </c>
      <c r="D24" s="231">
        <v>0</v>
      </c>
      <c r="E24" s="231">
        <v>0</v>
      </c>
      <c r="F24" s="231">
        <v>0</v>
      </c>
      <c r="G24" s="226">
        <f t="shared" si="1"/>
        <v>0</v>
      </c>
      <c r="H24" s="231">
        <v>0</v>
      </c>
      <c r="I24" s="231">
        <v>0</v>
      </c>
      <c r="J24" s="273">
        <v>0</v>
      </c>
      <c r="K24" s="273">
        <v>0</v>
      </c>
      <c r="L24" s="273">
        <v>0</v>
      </c>
      <c r="M24" s="285"/>
      <c r="AJ24" s="271" t="s">
        <v>275</v>
      </c>
    </row>
    <row r="25" spans="1:36" s="271" customFormat="1" ht="15.75" customHeight="1">
      <c r="A25" s="200">
        <v>10</v>
      </c>
      <c r="B25" s="68" t="s">
        <v>283</v>
      </c>
      <c r="C25" s="226">
        <f t="shared" si="2"/>
        <v>1</v>
      </c>
      <c r="D25" s="231">
        <v>0</v>
      </c>
      <c r="E25" s="231">
        <v>0</v>
      </c>
      <c r="F25" s="231">
        <v>1</v>
      </c>
      <c r="G25" s="226">
        <f t="shared" si="1"/>
        <v>1</v>
      </c>
      <c r="H25" s="231">
        <v>0</v>
      </c>
      <c r="I25" s="231">
        <v>0</v>
      </c>
      <c r="J25" s="273">
        <v>0</v>
      </c>
      <c r="K25" s="273">
        <v>0</v>
      </c>
      <c r="L25" s="273">
        <v>1</v>
      </c>
      <c r="M25" s="285"/>
      <c r="AJ25" s="199" t="s">
        <v>284</v>
      </c>
    </row>
    <row r="26" spans="1:44" s="271" customFormat="1" ht="15.75" customHeight="1">
      <c r="A26" s="200">
        <v>11</v>
      </c>
      <c r="B26" s="68" t="s">
        <v>285</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08" t="s">
        <v>286</v>
      </c>
      <c r="B28" s="708"/>
      <c r="C28" s="708"/>
      <c r="D28" s="708"/>
      <c r="E28" s="708"/>
      <c r="F28" s="182"/>
      <c r="G28" s="181"/>
      <c r="H28" s="294" t="s">
        <v>331</v>
      </c>
      <c r="I28" s="295"/>
      <c r="J28" s="295"/>
      <c r="K28" s="295"/>
      <c r="L28" s="295"/>
      <c r="AG28" s="233" t="s">
        <v>287</v>
      </c>
      <c r="AI28" s="190">
        <f>82/88</f>
        <v>0.9318181818181818</v>
      </c>
    </row>
    <row r="29" spans="1:12" ht="15" customHeight="1">
      <c r="A29" s="721" t="s">
        <v>4</v>
      </c>
      <c r="B29" s="721"/>
      <c r="C29" s="721"/>
      <c r="D29" s="721"/>
      <c r="E29" s="721"/>
      <c r="F29" s="182"/>
      <c r="G29" s="183"/>
      <c r="H29" s="724" t="s">
        <v>157</v>
      </c>
      <c r="I29" s="724"/>
      <c r="J29" s="724"/>
      <c r="K29" s="724"/>
      <c r="L29" s="724"/>
    </row>
    <row r="30" spans="1:14" s="170" customFormat="1" ht="18.75">
      <c r="A30" s="718"/>
      <c r="B30" s="718"/>
      <c r="C30" s="718"/>
      <c r="D30" s="718"/>
      <c r="E30" s="718"/>
      <c r="F30" s="296"/>
      <c r="G30" s="182"/>
      <c r="H30" s="719"/>
      <c r="I30" s="719"/>
      <c r="J30" s="719"/>
      <c r="K30" s="719"/>
      <c r="L30" s="719"/>
      <c r="M30" s="297"/>
      <c r="N30" s="297"/>
    </row>
    <row r="31" spans="1:12" ht="18">
      <c r="A31" s="182"/>
      <c r="B31" s="182"/>
      <c r="C31" s="182"/>
      <c r="D31" s="182"/>
      <c r="E31" s="182"/>
      <c r="F31" s="182"/>
      <c r="G31" s="182"/>
      <c r="H31" s="182"/>
      <c r="I31" s="182"/>
      <c r="J31" s="182"/>
      <c r="K31" s="182"/>
      <c r="L31" s="298"/>
    </row>
    <row r="32" spans="1:12" ht="18">
      <c r="A32" s="182"/>
      <c r="B32" s="799" t="s">
        <v>290</v>
      </c>
      <c r="C32" s="799"/>
      <c r="D32" s="799"/>
      <c r="E32" s="799"/>
      <c r="F32" s="182"/>
      <c r="G32" s="182"/>
      <c r="H32" s="182"/>
      <c r="I32" s="799" t="s">
        <v>290</v>
      </c>
      <c r="J32" s="799"/>
      <c r="K32" s="799"/>
      <c r="L32" s="298"/>
    </row>
    <row r="33" spans="1:12" ht="10.5" customHeight="1">
      <c r="A33" s="182"/>
      <c r="B33" s="182"/>
      <c r="C33" s="299" t="s">
        <v>289</v>
      </c>
      <c r="D33" s="299"/>
      <c r="E33" s="299"/>
      <c r="F33" s="299"/>
      <c r="G33" s="299"/>
      <c r="H33" s="299"/>
      <c r="I33" s="299"/>
      <c r="J33" s="300" t="s">
        <v>289</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08" t="s">
        <v>216</v>
      </c>
      <c r="C40" s="808"/>
      <c r="D40" s="808"/>
      <c r="E40" s="808"/>
      <c r="F40" s="808"/>
      <c r="G40" s="303"/>
      <c r="H40" s="301"/>
      <c r="I40" s="301"/>
      <c r="J40" s="301"/>
      <c r="K40" s="301"/>
      <c r="L40" s="301"/>
      <c r="M40" s="265"/>
      <c r="N40" s="265"/>
      <c r="O40" s="265"/>
      <c r="P40" s="265"/>
    </row>
    <row r="41" spans="1:12" ht="12.75" customHeight="1" hidden="1">
      <c r="A41" s="182"/>
      <c r="B41" s="279" t="s">
        <v>217</v>
      </c>
      <c r="C41" s="304"/>
      <c r="D41" s="304"/>
      <c r="E41" s="304"/>
      <c r="F41" s="304"/>
      <c r="G41" s="182"/>
      <c r="H41" s="301"/>
      <c r="I41" s="301"/>
      <c r="J41" s="301"/>
      <c r="K41" s="301"/>
      <c r="L41" s="301"/>
    </row>
    <row r="42" spans="1:12" ht="12.75" customHeight="1" hidden="1">
      <c r="A42" s="182"/>
      <c r="B42" s="236" t="s">
        <v>218</v>
      </c>
      <c r="C42" s="304"/>
      <c r="D42" s="304"/>
      <c r="E42" s="304"/>
      <c r="F42" s="304"/>
      <c r="G42" s="182"/>
      <c r="H42" s="301"/>
      <c r="I42" s="301"/>
      <c r="J42" s="301"/>
      <c r="K42" s="301"/>
      <c r="L42" s="301"/>
    </row>
    <row r="43" spans="1:12" ht="18.75">
      <c r="A43" s="591" t="s">
        <v>332</v>
      </c>
      <c r="B43" s="591"/>
      <c r="C43" s="591"/>
      <c r="D43" s="591"/>
      <c r="E43" s="591"/>
      <c r="F43" s="182"/>
      <c r="G43" s="301"/>
      <c r="H43" s="592" t="s">
        <v>247</v>
      </c>
      <c r="I43" s="592"/>
      <c r="J43" s="592"/>
      <c r="K43" s="592"/>
      <c r="L43" s="592"/>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36" t="s">
        <v>219</v>
      </c>
      <c r="B1" s="736"/>
      <c r="C1" s="736"/>
      <c r="D1" s="736"/>
      <c r="E1" s="306"/>
      <c r="F1" s="732" t="s">
        <v>367</v>
      </c>
      <c r="G1" s="732"/>
      <c r="H1" s="732"/>
      <c r="I1" s="732"/>
      <c r="J1" s="732"/>
      <c r="K1" s="732"/>
      <c r="L1" s="732"/>
      <c r="M1" s="732"/>
      <c r="N1" s="732"/>
      <c r="O1" s="732"/>
      <c r="P1" s="307" t="s">
        <v>291</v>
      </c>
      <c r="Q1" s="308"/>
      <c r="R1" s="308"/>
      <c r="S1" s="308"/>
      <c r="T1" s="308"/>
    </row>
    <row r="2" spans="1:20" s="177" customFormat="1" ht="20.25" customHeight="1">
      <c r="A2" s="843" t="s">
        <v>301</v>
      </c>
      <c r="B2" s="843"/>
      <c r="C2" s="843"/>
      <c r="D2" s="843"/>
      <c r="E2" s="306"/>
      <c r="F2" s="732"/>
      <c r="G2" s="732"/>
      <c r="H2" s="732"/>
      <c r="I2" s="732"/>
      <c r="J2" s="732"/>
      <c r="K2" s="732"/>
      <c r="L2" s="732"/>
      <c r="M2" s="732"/>
      <c r="N2" s="732"/>
      <c r="O2" s="732"/>
      <c r="P2" s="308" t="s">
        <v>333</v>
      </c>
      <c r="Q2" s="308"/>
      <c r="R2" s="308"/>
      <c r="S2" s="308"/>
      <c r="T2" s="308"/>
    </row>
    <row r="3" spans="1:20" s="177" customFormat="1" ht="15" customHeight="1">
      <c r="A3" s="843" t="s">
        <v>253</v>
      </c>
      <c r="B3" s="843"/>
      <c r="C3" s="843"/>
      <c r="D3" s="843"/>
      <c r="E3" s="306"/>
      <c r="F3" s="732"/>
      <c r="G3" s="732"/>
      <c r="H3" s="732"/>
      <c r="I3" s="732"/>
      <c r="J3" s="732"/>
      <c r="K3" s="732"/>
      <c r="L3" s="732"/>
      <c r="M3" s="732"/>
      <c r="N3" s="732"/>
      <c r="O3" s="732"/>
      <c r="P3" s="307" t="s">
        <v>359</v>
      </c>
      <c r="Q3" s="307"/>
      <c r="R3" s="307"/>
      <c r="S3" s="309"/>
      <c r="T3" s="309"/>
    </row>
    <row r="4" spans="1:20" s="177" customFormat="1" ht="15.75" customHeight="1">
      <c r="A4" s="844" t="s">
        <v>334</v>
      </c>
      <c r="B4" s="844"/>
      <c r="C4" s="844"/>
      <c r="D4" s="844"/>
      <c r="E4" s="307"/>
      <c r="F4" s="732"/>
      <c r="G4" s="732"/>
      <c r="H4" s="732"/>
      <c r="I4" s="732"/>
      <c r="J4" s="732"/>
      <c r="K4" s="732"/>
      <c r="L4" s="732"/>
      <c r="M4" s="732"/>
      <c r="N4" s="732"/>
      <c r="O4" s="732"/>
      <c r="P4" s="308" t="s">
        <v>303</v>
      </c>
      <c r="Q4" s="307"/>
      <c r="R4" s="307"/>
      <c r="S4" s="309"/>
      <c r="T4" s="309"/>
    </row>
    <row r="5" spans="1:18" s="177" customFormat="1" ht="24" customHeight="1">
      <c r="A5" s="310"/>
      <c r="B5" s="310"/>
      <c r="C5" s="310"/>
      <c r="F5" s="838"/>
      <c r="G5" s="838"/>
      <c r="H5" s="838"/>
      <c r="I5" s="838"/>
      <c r="J5" s="838"/>
      <c r="K5" s="838"/>
      <c r="L5" s="838"/>
      <c r="M5" s="838"/>
      <c r="N5" s="838"/>
      <c r="O5" s="838"/>
      <c r="P5" s="311" t="s">
        <v>335</v>
      </c>
      <c r="Q5" s="312"/>
      <c r="R5" s="312"/>
    </row>
    <row r="6" spans="1:20" s="313" customFormat="1" ht="21.75" customHeight="1">
      <c r="A6" s="839" t="s">
        <v>57</v>
      </c>
      <c r="B6" s="840"/>
      <c r="C6" s="739" t="s">
        <v>31</v>
      </c>
      <c r="D6" s="742"/>
      <c r="E6" s="739" t="s">
        <v>7</v>
      </c>
      <c r="F6" s="835"/>
      <c r="G6" s="835"/>
      <c r="H6" s="835"/>
      <c r="I6" s="835"/>
      <c r="J6" s="835"/>
      <c r="K6" s="835"/>
      <c r="L6" s="835"/>
      <c r="M6" s="835"/>
      <c r="N6" s="835"/>
      <c r="O6" s="835"/>
      <c r="P6" s="835"/>
      <c r="Q6" s="835"/>
      <c r="R6" s="835"/>
      <c r="S6" s="835"/>
      <c r="T6" s="742"/>
    </row>
    <row r="7" spans="1:21" s="313" customFormat="1" ht="22.5" customHeight="1">
      <c r="A7" s="841"/>
      <c r="B7" s="842"/>
      <c r="C7" s="711" t="s">
        <v>336</v>
      </c>
      <c r="D7" s="711" t="s">
        <v>337</v>
      </c>
      <c r="E7" s="739" t="s">
        <v>220</v>
      </c>
      <c r="F7" s="833"/>
      <c r="G7" s="833"/>
      <c r="H7" s="833"/>
      <c r="I7" s="833"/>
      <c r="J7" s="833"/>
      <c r="K7" s="833"/>
      <c r="L7" s="834"/>
      <c r="M7" s="739" t="s">
        <v>338</v>
      </c>
      <c r="N7" s="835"/>
      <c r="O7" s="835"/>
      <c r="P7" s="835"/>
      <c r="Q7" s="835"/>
      <c r="R7" s="835"/>
      <c r="S7" s="835"/>
      <c r="T7" s="742"/>
      <c r="U7" s="314"/>
    </row>
    <row r="8" spans="1:20" s="313" customFormat="1" ht="42.75" customHeight="1">
      <c r="A8" s="841"/>
      <c r="B8" s="842"/>
      <c r="C8" s="712"/>
      <c r="D8" s="712"/>
      <c r="E8" s="710" t="s">
        <v>339</v>
      </c>
      <c r="F8" s="710"/>
      <c r="G8" s="739" t="s">
        <v>340</v>
      </c>
      <c r="H8" s="835"/>
      <c r="I8" s="835"/>
      <c r="J8" s="835"/>
      <c r="K8" s="835"/>
      <c r="L8" s="742"/>
      <c r="M8" s="710" t="s">
        <v>341</v>
      </c>
      <c r="N8" s="710"/>
      <c r="O8" s="739" t="s">
        <v>340</v>
      </c>
      <c r="P8" s="835"/>
      <c r="Q8" s="835"/>
      <c r="R8" s="835"/>
      <c r="S8" s="835"/>
      <c r="T8" s="742"/>
    </row>
    <row r="9" spans="1:20" s="313" customFormat="1" ht="35.25" customHeight="1">
      <c r="A9" s="841"/>
      <c r="B9" s="842"/>
      <c r="C9" s="712"/>
      <c r="D9" s="712"/>
      <c r="E9" s="711" t="s">
        <v>221</v>
      </c>
      <c r="F9" s="711" t="s">
        <v>222</v>
      </c>
      <c r="G9" s="824" t="s">
        <v>223</v>
      </c>
      <c r="H9" s="825"/>
      <c r="I9" s="824" t="s">
        <v>224</v>
      </c>
      <c r="J9" s="825"/>
      <c r="K9" s="824" t="s">
        <v>225</v>
      </c>
      <c r="L9" s="825"/>
      <c r="M9" s="711" t="s">
        <v>226</v>
      </c>
      <c r="N9" s="711" t="s">
        <v>222</v>
      </c>
      <c r="O9" s="824" t="s">
        <v>223</v>
      </c>
      <c r="P9" s="825"/>
      <c r="Q9" s="824" t="s">
        <v>227</v>
      </c>
      <c r="R9" s="825"/>
      <c r="S9" s="824" t="s">
        <v>228</v>
      </c>
      <c r="T9" s="825"/>
    </row>
    <row r="10" spans="1:20" s="313" customFormat="1" ht="25.5" customHeight="1">
      <c r="A10" s="824"/>
      <c r="B10" s="825"/>
      <c r="C10" s="713"/>
      <c r="D10" s="713"/>
      <c r="E10" s="713"/>
      <c r="F10" s="713"/>
      <c r="G10" s="215" t="s">
        <v>226</v>
      </c>
      <c r="H10" s="215" t="s">
        <v>222</v>
      </c>
      <c r="I10" s="219" t="s">
        <v>226</v>
      </c>
      <c r="J10" s="215" t="s">
        <v>222</v>
      </c>
      <c r="K10" s="219" t="s">
        <v>226</v>
      </c>
      <c r="L10" s="215" t="s">
        <v>222</v>
      </c>
      <c r="M10" s="713"/>
      <c r="N10" s="713"/>
      <c r="O10" s="215" t="s">
        <v>226</v>
      </c>
      <c r="P10" s="215" t="s">
        <v>222</v>
      </c>
      <c r="Q10" s="219" t="s">
        <v>226</v>
      </c>
      <c r="R10" s="215" t="s">
        <v>222</v>
      </c>
      <c r="S10" s="219" t="s">
        <v>226</v>
      </c>
      <c r="T10" s="215" t="s">
        <v>222</v>
      </c>
    </row>
    <row r="11" spans="1:32" s="222" customFormat="1" ht="12.75">
      <c r="A11" s="830" t="s">
        <v>6</v>
      </c>
      <c r="B11" s="831"/>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267</v>
      </c>
    </row>
    <row r="12" spans="1:20" s="222" customFormat="1" ht="20.25" customHeight="1">
      <c r="A12" s="836" t="s">
        <v>323</v>
      </c>
      <c r="B12" s="837"/>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26" t="s">
        <v>299</v>
      </c>
      <c r="B13" s="827"/>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28" t="s">
        <v>30</v>
      </c>
      <c r="B14" s="829"/>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134</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268</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270</v>
      </c>
    </row>
    <row r="18" spans="1:20" s="178" customFormat="1" ht="15.75" customHeight="1">
      <c r="A18" s="200">
        <v>2</v>
      </c>
      <c r="B18" s="68" t="s">
        <v>300</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271</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272</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273</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275</v>
      </c>
      <c r="AK21" s="178" t="s">
        <v>276</v>
      </c>
      <c r="AL21" s="178" t="s">
        <v>277</v>
      </c>
      <c r="AM21" s="199" t="s">
        <v>278</v>
      </c>
    </row>
    <row r="22" spans="1:39" s="178" customFormat="1" ht="15.75" customHeight="1">
      <c r="A22" s="200">
        <v>6</v>
      </c>
      <c r="B22" s="68" t="s">
        <v>274</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280</v>
      </c>
    </row>
    <row r="23" spans="1:20" s="178" customFormat="1" ht="15.75" customHeight="1">
      <c r="A23" s="200">
        <v>7</v>
      </c>
      <c r="B23" s="68" t="s">
        <v>279</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281</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275</v>
      </c>
    </row>
    <row r="25" spans="1:36" s="178" customFormat="1" ht="15.75" customHeight="1">
      <c r="A25" s="200">
        <v>9</v>
      </c>
      <c r="B25" s="68" t="s">
        <v>282</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284</v>
      </c>
    </row>
    <row r="26" spans="1:44" s="178" customFormat="1" ht="15.75" customHeight="1">
      <c r="A26" s="200">
        <v>10</v>
      </c>
      <c r="B26" s="68" t="s">
        <v>283</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285</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287</v>
      </c>
      <c r="AI28" s="190">
        <f>82/88</f>
        <v>0.9318181818181818</v>
      </c>
    </row>
    <row r="29" spans="1:20" ht="15.75" customHeight="1">
      <c r="A29" s="180"/>
      <c r="B29" s="708" t="s">
        <v>286</v>
      </c>
      <c r="C29" s="708"/>
      <c r="D29" s="708"/>
      <c r="E29" s="708"/>
      <c r="F29" s="708"/>
      <c r="G29" s="708"/>
      <c r="H29" s="181"/>
      <c r="I29" s="181"/>
      <c r="J29" s="182"/>
      <c r="K29" s="181"/>
      <c r="L29" s="715" t="s">
        <v>286</v>
      </c>
      <c r="M29" s="715"/>
      <c r="N29" s="715"/>
      <c r="O29" s="715"/>
      <c r="P29" s="715"/>
      <c r="Q29" s="715"/>
      <c r="R29" s="715"/>
      <c r="S29" s="715"/>
      <c r="T29" s="715"/>
    </row>
    <row r="30" spans="1:20" ht="15" customHeight="1">
      <c r="A30" s="180"/>
      <c r="B30" s="721" t="s">
        <v>35</v>
      </c>
      <c r="C30" s="721"/>
      <c r="D30" s="721"/>
      <c r="E30" s="721"/>
      <c r="F30" s="721"/>
      <c r="G30" s="721"/>
      <c r="H30" s="183"/>
      <c r="I30" s="183"/>
      <c r="J30" s="183"/>
      <c r="K30" s="183"/>
      <c r="L30" s="724" t="s">
        <v>245</v>
      </c>
      <c r="M30" s="724"/>
      <c r="N30" s="724"/>
      <c r="O30" s="724"/>
      <c r="P30" s="724"/>
      <c r="Q30" s="724"/>
      <c r="R30" s="724"/>
      <c r="S30" s="724"/>
      <c r="T30" s="724"/>
    </row>
    <row r="31" spans="1:20" s="320" customFormat="1" ht="18.75">
      <c r="A31" s="318"/>
      <c r="B31" s="718"/>
      <c r="C31" s="718"/>
      <c r="D31" s="718"/>
      <c r="E31" s="718"/>
      <c r="F31" s="718"/>
      <c r="G31" s="319"/>
      <c r="H31" s="319"/>
      <c r="I31" s="319"/>
      <c r="J31" s="319"/>
      <c r="K31" s="319"/>
      <c r="L31" s="719"/>
      <c r="M31" s="719"/>
      <c r="N31" s="719"/>
      <c r="O31" s="719"/>
      <c r="P31" s="719"/>
      <c r="Q31" s="719"/>
      <c r="R31" s="719"/>
      <c r="S31" s="719"/>
      <c r="T31" s="719"/>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32" t="s">
        <v>290</v>
      </c>
      <c r="C33" s="832"/>
      <c r="D33" s="832"/>
      <c r="E33" s="832"/>
      <c r="F33" s="832"/>
      <c r="G33" s="321"/>
      <c r="H33" s="321"/>
      <c r="I33" s="321"/>
      <c r="J33" s="321"/>
      <c r="K33" s="321"/>
      <c r="L33" s="321"/>
      <c r="M33" s="321"/>
      <c r="N33" s="321"/>
      <c r="O33" s="832" t="s">
        <v>290</v>
      </c>
      <c r="P33" s="832"/>
      <c r="Q33" s="832"/>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216</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217</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229</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91" t="s">
        <v>246</v>
      </c>
      <c r="C39" s="591"/>
      <c r="D39" s="591"/>
      <c r="E39" s="591"/>
      <c r="F39" s="591"/>
      <c r="G39" s="591"/>
      <c r="H39" s="182"/>
      <c r="I39" s="182"/>
      <c r="J39" s="182"/>
      <c r="K39" s="182"/>
      <c r="L39" s="592" t="s">
        <v>247</v>
      </c>
      <c r="M39" s="592"/>
      <c r="N39" s="592"/>
      <c r="O39" s="592"/>
      <c r="P39" s="592"/>
      <c r="Q39" s="592"/>
      <c r="R39" s="592"/>
      <c r="S39" s="592"/>
      <c r="T39" s="592"/>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F5:O5"/>
    <mergeCell ref="A6:B10"/>
    <mergeCell ref="A2:D2"/>
    <mergeCell ref="A3:D3"/>
    <mergeCell ref="A4:D4"/>
    <mergeCell ref="C7:C10"/>
    <mergeCell ref="C6:D6"/>
    <mergeCell ref="E9:E10"/>
    <mergeCell ref="E8:F8"/>
    <mergeCell ref="O8:T8"/>
    <mergeCell ref="M7:T7"/>
    <mergeCell ref="G8:L8"/>
    <mergeCell ref="Q9:R9"/>
    <mergeCell ref="F9:F10"/>
    <mergeCell ref="A1:D1"/>
    <mergeCell ref="E7:L7"/>
    <mergeCell ref="F1:O4"/>
    <mergeCell ref="O9:P9"/>
    <mergeCell ref="G9:H9"/>
    <mergeCell ref="I9:J9"/>
    <mergeCell ref="M9:M10"/>
    <mergeCell ref="M8:N8"/>
    <mergeCell ref="E6:T6"/>
    <mergeCell ref="D7:D10"/>
    <mergeCell ref="B39:G39"/>
    <mergeCell ref="L29:T29"/>
    <mergeCell ref="L30:T30"/>
    <mergeCell ref="L39:T39"/>
    <mergeCell ref="B30:G30"/>
    <mergeCell ref="O33:Q33"/>
    <mergeCell ref="B33:F33"/>
    <mergeCell ref="B29:G29"/>
    <mergeCell ref="B31:F31"/>
    <mergeCell ref="L31:T31"/>
    <mergeCell ref="N9:N10"/>
    <mergeCell ref="K9:L9"/>
    <mergeCell ref="A13:B13"/>
    <mergeCell ref="S9:T9"/>
    <mergeCell ref="A14:B14"/>
    <mergeCell ref="A11:B11"/>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2017-11-28T07:58:35Z</cp:lastPrinted>
  <dcterms:created xsi:type="dcterms:W3CDTF">2004-03-07T02:36:29Z</dcterms:created>
  <dcterms:modified xsi:type="dcterms:W3CDTF">2017-11-30T01:21:50Z</dcterms:modified>
  <cp:category/>
  <cp:version/>
  <cp:contentType/>
  <cp:contentStatus/>
</cp:coreProperties>
</file>